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me0rzcXepyn3O7gt55lF/5IKnboUXS1e2aCVpW5Ey3cDRsJe5bS1GMt1LinEoQvW8rCO7iF+vFMNfBGnu77SvQ==" workbookSaltValue="60z2oCEoNg0kELyTe8Gh4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E17" i="13"/>
  <c r="E32" i="20"/>
  <c r="R32" i="20"/>
  <c r="W32" i="20"/>
  <c r="AJ32" i="20"/>
  <c r="G30" i="14"/>
  <c r="G23" i="14"/>
  <c r="U18" i="11"/>
  <c r="AX32" i="20"/>
  <c r="Y32" i="20"/>
  <c r="L32" i="20"/>
  <c r="AG32" i="20"/>
  <c r="H32" i="20"/>
  <c r="T32" i="21"/>
  <c r="F32" i="20"/>
  <c r="AF32" i="20"/>
  <c r="G26" i="14"/>
  <c r="S32" i="20"/>
  <c r="K32" i="20"/>
  <c r="AQ32" i="21"/>
  <c r="O17" i="11"/>
  <c r="M32" i="20"/>
  <c r="AI32" i="20"/>
  <c r="AM32" i="20"/>
  <c r="U10" i="11"/>
  <c r="I32" i="20"/>
  <c r="J32" i="20"/>
  <c r="Q32" i="20"/>
  <c r="AK32" i="20"/>
  <c r="AE32" i="20"/>
  <c r="U12" i="11"/>
  <c r="AU32" i="20"/>
  <c r="AZ32" i="20"/>
  <c r="G14" i="14"/>
  <c r="O18" i="11"/>
  <c r="E23" i="12" l="1"/>
  <c r="BF17" i="8"/>
  <c r="T31" i="8"/>
  <c r="K30" i="2"/>
  <c r="AL21" i="11"/>
  <c r="L17" i="14"/>
  <c r="F16" i="11"/>
  <c r="AQ16" i="11" s="1"/>
  <c r="BF16" i="13"/>
  <c r="BG17" i="13"/>
  <c r="R8" i="9"/>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N32" i="20"/>
  <c r="AO32" i="20"/>
  <c r="AL32" i="20"/>
  <c r="T32" i="20"/>
  <c r="AA32" i="20"/>
  <c r="AN32" i="20"/>
  <c r="AD32" i="20"/>
  <c r="AC32" i="20"/>
  <c r="AV32" i="20"/>
  <c r="O10" i="11"/>
  <c r="AP32" i="20"/>
  <c r="U17" i="11"/>
  <c r="W32" i="21"/>
  <c r="AQ32" i="20"/>
  <c r="AB32" i="20"/>
  <c r="AH32" i="20"/>
  <c r="X32" i="20"/>
  <c r="I10" i="12" l="1"/>
  <c r="K17" i="12"/>
  <c r="BF23" i="13"/>
  <c r="I9" i="12"/>
  <c r="K9"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F23" i="11" s="1"/>
  <c r="BL18" i="11"/>
  <c r="BK12" i="11"/>
  <c r="S18" i="16"/>
  <c r="S9" i="17"/>
  <c r="BI10" i="11"/>
  <c r="BM25" i="1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W21" i="20"/>
  <c r="AZ17" i="11"/>
  <c r="BI20" i="11"/>
  <c r="BL28" i="11"/>
  <c r="BH10" i="16"/>
  <c r="S18" i="17"/>
  <c r="BH12" i="16"/>
  <c r="BK22" i="11"/>
  <c r="L22" i="2"/>
  <c r="S16" i="17"/>
  <c r="S17" i="17"/>
  <c r="X19" i="16"/>
  <c r="U9" i="17"/>
  <c r="U31" i="17" s="1"/>
  <c r="BV29" i="16"/>
  <c r="BV9" i="16"/>
  <c r="BG12" i="11"/>
  <c r="BI9" i="11"/>
  <c r="BL10" i="11"/>
  <c r="BH11" i="11"/>
  <c r="BM9" i="11"/>
  <c r="BJ17" i="11"/>
  <c r="BJ23" i="11" s="1"/>
  <c r="BL17" i="11"/>
  <c r="BH22" i="11"/>
  <c r="X12" i="17"/>
  <c r="X22" i="16"/>
  <c r="L12" i="2"/>
  <c r="X10" i="21"/>
  <c r="L20" i="2"/>
  <c r="V10" i="16"/>
  <c r="V9"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L31" i="21" l="1"/>
  <c r="AA31" i="11"/>
  <c r="E31" i="2"/>
  <c r="BK14" i="11"/>
  <c r="Q16" i="11"/>
  <c r="BU33" i="17"/>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<sst xmlns="http://schemas.openxmlformats.org/spreadsheetml/2006/main" count="2677" uniqueCount="1194">
  <si>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</si>
  <si>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</si>
  <si>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</si>
  <si>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</si>
  <si>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</si>
  <si>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</si>
  <si>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</si>
  <si>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</si>
  <si>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</si>
  <si>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</si>
  <si>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</si>
  <si>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</si>
  <si>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</si>
  <si>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</si>
  <si>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</si>
  <si>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</si>
  <si>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</si>
  <si>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</si>
  <si>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</si>
  <si>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</si>
  <si>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</si>
  <si>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</si>
  <si>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</si>
  <si>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</si>
  <si>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</si>
  <si>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</si>
  <si>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</si>
  <si>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</si>
  <si>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</si>
  <si>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</si>
  <si>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</si>
  <si>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</si>
  <si>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</si>
  <si>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</si>
  <si>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</si>
  <si>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</si>
  <si>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</si>
  <si>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</si>
  <si>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</si>
  <si>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</si>
  <si>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</si>
  <si>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</si>
  <si>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</si>
  <si>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</si>
  <si>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</si>
  <si>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</si>
  <si>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</si>
  <si>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</si>
  <si>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</si>
  <si>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</si>
  <si>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</si>
  <si>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</si>
  <si>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</si>
  <si>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</si>
  <si>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</si>
  <si>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</si>
  <si>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</si>
  <si>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</si>
  <si>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</si>
  <si>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</si>
  <si>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</si>
  <si>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</si>
  <si>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</si>
  <si>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</si>
  <si>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</si>
  <si>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</si>
  <si>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</si>
  <si>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</si>
  <si>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</si>
  <si>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</si>
  <si>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</si>
  <si>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</si>
  <si>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</si>
  <si>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</si>
  <si>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</si>
  <si>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</si>
  <si>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</si>
  <si>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</si>
  <si>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</si>
  <si>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</si>
  <si>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</si>
  <si>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</si>
  <si>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</si>
  <si>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</si>
  <si>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</si>
  <si>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</si>
  <si>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</si>
  <si>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</si>
  <si>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</si>
  <si>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</si>
  <si>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</si>
  <si>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</si>
  <si>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</si>
  <si>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</si>
  <si>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</si>
  <si>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</si>
  <si>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</si>
  <si>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</si>
  <si>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</si>
  <si>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</si>
  <si>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</si>
  <si>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</si>
  <si>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</si>
  <si>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</si>
  <si>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</si>
  <si>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</si>
  <si>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</si>
  <si>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</si>
  <si>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</si>
  <si>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</si>
  <si>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</si>
  <si>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</si>
  <si>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</si>
  <si>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</si>
  <si>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</si>
  <si>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</si>
  <si>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</si>
  <si>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</si>
  <si>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</si>
  <si>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</si>
  <si>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</si>
  <si>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</si>
  <si>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</si>
  <si>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</si>
  <si>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</si>
  <si>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</si>
  <si>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</si>
  <si>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</si>
  <si>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</si>
  <si>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</si>
  <si>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</si>
  <si>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</si>
  <si>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</si>
  <si>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</si>
  <si>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</si>
  <si>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</si>
  <si>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</si>
  <si>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</si>
  <si>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</si>
  <si>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</si>
  <si>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</si>
  <si>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</si>
  <si>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</si>
  <si>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</si>
  <si>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</si>
  <si>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</si>
  <si>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</si>
  <si>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</si>
  <si>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</si>
  <si>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</si>
  <si>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</si>
  <si>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</si>
  <si>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</si>
  <si>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</si>
  <si>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</si>
  <si>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</si>
  <si>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</si>
  <si>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</si>
  <si>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</si>
  <si>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</si>
  <si>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</si>
  <si>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</si>
  <si>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</si>
  <si>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</si>
  <si>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</si>
  <si>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</si>
  <si>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</si>
  <si>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</si>
  <si>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</si>
  <si>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</si>
  <si>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</si>
  <si>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</si>
  <si>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</si>
  <si>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</si>
  <si>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</si>
  <si>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</si>
  <si>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</si>
  <si>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</si>
  <si>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</si>
  <si>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</si>
  <si>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</si>
  <si>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</si>
  <si>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</si>
  <si>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</si>
  <si>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</si>
  <si>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</si>
  <si>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</si>
  <si>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</si>
  <si>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</si>
  <si>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</si>
  <si>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</si>
  <si>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</si>
  <si>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</si>
  <si>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</si>
  <si>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</si>
  <si>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</si>
  <si>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</si>
  <si>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</si>
  <si>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</si>
  <si>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</si>
  <si>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</si>
  <si>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</si>
  <si>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</si>
  <si>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</si>
  <si>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</si>
  <si>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</si>
  <si>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</si>
  <si>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</si>
  <si>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</si>
  <si>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</si>
  <si>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</si>
  <si>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</si>
  <si>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</si>
  <si>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</si>
  <si>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</si>
  <si>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</si>
  <si>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</si>
  <si>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</si>
  <si>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</si>
  <si>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</si>
  <si>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</si>
  <si>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</si>
  <si>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</si>
  <si>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</si>
  <si>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</si>
  <si>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</si>
  <si>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</si>
  <si>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</si>
  <si>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</si>
  <si>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</si>
  <si>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</si>
  <si>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</si>
  <si>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</si>
  <si>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</si>
  <si>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</si>
  <si>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</si>
  <si>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</si>
  <si>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</si>
  <si>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</si>
  <si>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</si>
  <si>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</si>
  <si>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</si>
  <si>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</si>
  <si>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</si>
  <si>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</si>
  <si>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</si>
  <si>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</si>
  <si>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</si>
  <si>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</si>
  <si>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</si>
  <si>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</si>
  <si>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</si>
  <si>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</si>
  <si>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</si>
  <si>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</si>
  <si>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</si>
  <si>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</si>
  <si>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</si>
  <si>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</si>
  <si>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</si>
  <si>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</si>
  <si>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</si>
  <si>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</si>
  <si>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</si>
  <si>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</si>
  <si>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</si>
  <si>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</si>
  <si>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</si>
  <si>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</si>
  <si>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</si>
  <si>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</si>
  <si>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</si>
  <si>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</si>
  <si>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</si>
  <si>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</si>
  <si>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</si>
  <si>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</si>
  <si>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</si>
  <si>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</si>
  <si>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</si>
  <si>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</si>
  <si>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</si>
  <si>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</si>
  <si>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</si>
  <si>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</si>
  <si>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</si>
  <si>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</si>
  <si>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</si>
  <si>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</si>
  <si>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</si>
  <si>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</si>
  <si>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</si>
  <si>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</si>
  <si>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</si>
  <si>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</si>
  <si>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</si>
  <si>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</si>
  <si>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</si>
  <si>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</si>
  <si>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</si>
  <si>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</si>
  <si>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</si>
  <si>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</si>
  <si>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</si>
  <si>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</si>
  <si>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</si>
  <si>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</si>
  <si>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</si>
  <si>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</si>
  <si>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</si>
  <si>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</si>
  <si>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</si>
  <si>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</si>
  <si>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</si>
  <si>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</si>
  <si>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</si>
  <si>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</si>
  <si>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</si>
  <si>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</si>
  <si>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</si>
  <si>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</si>
  <si>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</si>
  <si>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</si>
  <si>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</si>
  <si>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</si>
  <si>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</si>
  <si>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</si>
  <si>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</si>
  <si>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</si>
  <si>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</si>
  <si>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</si>
  <si>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</si>
  <si>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</si>
  <si>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</si>
  <si>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</si>
  <si>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</si>
  <si>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</si>
  <si>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</si>
  <si>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</si>
  <si>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</si>
  <si>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</si>
  <si>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</si>
  <si>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</si>
  <si>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</si>
  <si>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</si>
  <si>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</si>
  <si>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</si>
  <si>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</si>
  <si>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</si>
  <si>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</si>
  <si>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</si>
  <si>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</si>
  <si>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</si>
  <si>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</si>
  <si>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</si>
  <si>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</si>
  <si>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</si>
  <si>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</si>
  <si>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</si>
  <si>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</si>
  <si>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</si>
  <si>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</si>
  <si>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</si>
  <si>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</si>
  <si>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</si>
  <si>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</si>
  <si>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</si>
  <si>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</si>
  <si>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</si>
  <si>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</si>
  <si>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</si>
  <si>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</si>
  <si>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</si>
  <si>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</si>
  <si>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</si>
  <si>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</si>
  <si>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</si>
  <si>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</si>
  <si>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</si>
  <si>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</si>
  <si>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</si>
  <si>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</si>
  <si>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</si>
  <si>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</si>
  <si>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</si>
  <si>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</si>
  <si>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</si>
  <si>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</si>
  <si>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</si>
  <si>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</si>
  <si>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</si>
  <si>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</si>
  <si>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</si>
  <si>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</si>
  <si>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</si>
  <si>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</si>
  <si>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</si>
  <si>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</si>
  <si>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</si>
  <si>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</si>
  <si>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</si>
  <si>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</si>
  <si>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</si>
  <si>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</si>
  <si>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</si>
  <si>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</si>
  <si>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</si>
  <si>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</si>
  <si>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</si>
  <si>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</si>
  <si>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</si>
  <si>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</si>
  <si>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</si>
  <si>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</si>
  <si>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</si>
  <si>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</si>
  <si>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</si>
  <si>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</si>
  <si>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</si>
  <si>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</si>
  <si>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</si>
  <si>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</si>
  <si>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</si>
  <si>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</si>
  <si>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</si>
  <si>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</si>
  <si>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</si>
  <si>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</si>
  <si>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</si>
  <si>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</si>
  <si>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</si>
  <si>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</si>
  <si>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</si>
  <si>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</si>
  <si>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</si>
  <si>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</si>
  <si>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</si>
  <si>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</si>
  <si>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</si>
  <si>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</si>
  <si>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</si>
  <si>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</si>
  <si>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</si>
  <si>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</si>
  <si>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</si>
  <si>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</si>
  <si>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</si>
  <si>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</si>
  <si>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</si>
  <si>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</si>
  <si>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</si>
  <si>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</si>
  <si>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</si>
  <si>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</si>
  <si>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</si>
  <si>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</si>
  <si>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</si>
  <si>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</si>
  <si>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</si>
  <si>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</si>
  <si>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</si>
  <si>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</si>
  <si>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</si>
  <si>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</si>
  <si>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</si>
  <si>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</si>
  <si>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</si>
  <si>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</si>
  <si>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</si>
  <si>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</si>
  <si>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</si>
  <si>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</si>
  <si>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</si>
  <si>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</si>
  <si>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</si>
  <si>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</si>
  <si>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</si>
  <si>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</si>
  <si>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</si>
  <si>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</si>
  <si>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</si>
  <si>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</si>
  <si>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</si>
  <si>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</si>
  <si>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</si>
  <si>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</si>
  <si>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</si>
  <si>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</si>
  <si>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</si>
  <si>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</si>
  <si>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</si>
  <si>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</si>
  <si>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</si>
  <si>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</si>
  <si>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</si>
  <si>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</si>
  <si>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</si>
  <si>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</si>
  <si>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</si>
  <si>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</si>
  <si>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</si>
  <si>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</si>
  <si>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</si>
  <si>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</si>
  <si>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</si>
  <si>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</si>
  <si>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</si>
  <si>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</si>
  <si>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</si>
  <si>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</si>
  <si>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</si>
  <si>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</si>
  <si>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</si>
  <si>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</si>
  <si>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</si>
  <si>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</si>
  <si>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</si>
  <si>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</si>
  <si>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</si>
  <si>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</si>
  <si>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</si>
  <si>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</si>
  <si>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</si>
  <si>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</si>
  <si>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</si>
  <si>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</si>
  <si>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</si>
  <si>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</si>
  <si>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</si>
  <si>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</si>
  <si>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</si>
  <si>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</si>
  <si>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</si>
  <si>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</si>
  <si>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</si>
  <si>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</si>
  <si>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</si>
  <si>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</si>
  <si>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</si>
  <si>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</si>
  <si>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</si>
  <si>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</si>
  <si>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</si>
  <si>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</si>
  <si>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</si>
  <si>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</si>
  <si>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</si>
  <si>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</si>
  <si>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</si>
  <si>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</si>
  <si>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</si>
  <si>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</si>
  <si>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</si>
  <si>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</si>
  <si>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</si>
  <si>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</si>
  <si>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</si>
  <si>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</si>
  <si>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</si>
  <si>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</si>
  <si>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</si>
  <si>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</si>
  <si>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</si>
  <si>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</si>
  <si>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</si>
  <si>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</si>
  <si>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</si>
  <si>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</si>
  <si>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</si>
  <si>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</si>
  <si>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</si>
  <si>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</si>
  <si>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</si>
  <si>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</si>
  <si>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</si>
  <si>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</si>
  <si>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</si>
  <si>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</si>
  <si>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</si>
  <si>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</si>
  <si>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</si>
  <si>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</si>
  <si>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</si>
  <si>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</si>
  <si>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</si>
  <si>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</si>
  <si>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</si>
  <si>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</si>
  <si>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</si>
  <si>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</si>
  <si>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</si>
  <si>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</si>
  <si>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</si>
  <si>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</si>
  <si>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</si>
  <si>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</si>
  <si>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</si>
  <si>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</si>
  <si>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</si>
  <si>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</si>
  <si>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</si>
  <si>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</si>
  <si>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</si>
  <si>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</si>
  <si>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</si>
  <si>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</si>
  <si>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</si>
  <si>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</si>
  <si>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</si>
  <si>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</si>
  <si>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</si>
  <si>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</si>
  <si>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</si>
  <si>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</si>
  <si>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</si>
  <si>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</si>
  <si>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</si>
  <si>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</si>
  <si>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</si>
  <si>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</si>
  <si>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</si>
  <si>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</si>
  <si>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</si>
  <si>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</si>
  <si>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</si>
  <si>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</si>
  <si>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</si>
  <si>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</si>
  <si>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</si>
  <si>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</si>
  <si>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</si>
  <si>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</si>
  <si>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</si>
  <si>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</si>
  <si>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</si>
  <si>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</si>
  <si>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</si>
  <si>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</si>
  <si>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</si>
  <si>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</si>
  <si>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</si>
  <si>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</si>
  <si>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</si>
  <si>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</si>
  <si>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</si>
  <si>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</si>
  <si>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</si>
  <si>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</si>
  <si>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</si>
  <si>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</si>
  <si>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</si>
  <si>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</si>
  <si>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</si>
  <si>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</si>
  <si>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</si>
  <si>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</si>
  <si>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</si>
  <si>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</si>
  <si>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</si>
  <si>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</si>
  <si>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</si>
  <si>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</si>
  <si>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</si>
  <si>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</si>
  <si>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</si>
  <si>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</si>
  <si>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</si>
  <si>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</si>
  <si>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</si>
  <si>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</si>
  <si>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</si>
  <si>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</si>
  <si>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</si>
  <si>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</si>
  <si>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</si>
  <si>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</si>
  <si>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</si>
  <si>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</si>
  <si>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</si>
  <si>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</si>
  <si>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</si>
  <si>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</si>
  <si>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</si>
  <si>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</si>
  <si>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</si>
  <si>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</si>
  <si>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</si>
  <si>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</si>
  <si>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</si>
  <si>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</si>
  <si>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</si>
  <si>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</si>
  <si>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</si>
  <si>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</si>
  <si>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</si>
  <si>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</si>
  <si>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</si>
  <si>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</si>
  <si>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</si>
  <si>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</si>
  <si>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</si>
  <si>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</si>
  <si>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</si>
  <si>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</si>
  <si>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</si>
  <si>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</si>
  <si>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</si>
  <si>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</si>
  <si>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</si>
  <si>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</si>
  <si>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</si>
  <si>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</si>
  <si>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</si>
  <si>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</si>
  <si>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</si>
  <si>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</si>
  <si>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</si>
  <si>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</si>
  <si>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</si>
  <si>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</si>
  <si>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</si>
  <si>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</si>
  <si>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</si>
  <si>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</si>
  <si>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</si>
  <si>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</si>
  <si>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</si>
  <si>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</si>
  <si>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</si>
  <si>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</si>
  <si>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</si>
  <si>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</si>
  <si>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</si>
  <si>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</si>
  <si>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</si>
  <si>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</si>
  <si>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</si>
  <si>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</si>
  <si>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</si>
  <si>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</si>
  <si>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</si>
  <si>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</si>
  <si>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</si>
  <si>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</si>
  <si>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</si>
  <si>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</si>
  <si>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</si>
  <si>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</si>
  <si>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</si>
  <si>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</si>
  <si>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</si>
  <si>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</si>
  <si>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</si>
  <si>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</si>
  <si>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</si>
  <si>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</si>
  <si>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</si>
  <si>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</si>
  <si>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</si>
  <si>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</si>
  <si>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</si>
  <si>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</si>
  <si>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</si>
  <si>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</si>
  <si>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</si>
  <si>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</si>
  <si>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</si>
  <si>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</si>
  <si>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</si>
  <si>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</si>
  <si>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</si>
  <si>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</si>
  <si>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</si>
  <si>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</si>
  <si>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</si>
  <si>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</si>
  <si>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</si>
  <si>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</si>
  <si>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</si>
  <si>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</si>
  <si>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</si>
  <si>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</si>
  <si>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</si>
  <si>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</si>
  <si>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</si>
  <si>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</si>
  <si>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</si>
  <si>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</si>
  <si>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</si>
  <si>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</si>
  <si>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</si>
  <si>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</si>
  <si>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</si>
  <si>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</si>
  <si>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</si>
  <si>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</si>
  <si>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</si>
  <si>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</si>
  <si>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</si>
  <si>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</si>
  <si>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</si>
  <si>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</si>
  <si>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</si>
  <si>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</si>
  <si>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</si>
  <si>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</si>
  <si>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</si>
  <si>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</si>
  <si>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</si>
  <si>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</si>
  <si>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</si>
  <si>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</si>
  <si>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</si>
  <si>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</si>
  <si>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</si>
  <si>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</si>
  <si>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</si>
  <si>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</si>
  <si>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</si>
  <si>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</si>
  <si>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</si>
  <si>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</si>
  <si>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</si>
  <si>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</si>
  <si>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</si>
  <si>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</si>
  <si>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</si>
  <si>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</si>
  <si>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</si>
  <si>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</si>
  <si>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</si>
  <si>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</si>
  <si>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</si>
  <si>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</si>
  <si>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</si>
  <si>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</si>
  <si>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</si>
  <si>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</si>
  <si>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</si>
  <si>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</si>
  <si>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</si>
  <si>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</si>
  <si>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</si>
  <si>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</si>
  <si>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</si>
  <si>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</si>
  <si>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</si>
  <si>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</si>
  <si>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</si>
  <si>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</si>
  <si>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</si>
  <si>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</si>
  <si>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</si>
  <si>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</si>
  <si>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</si>
  <si>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</si>
  <si>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</si>
  <si>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</si>
  <si>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</si>
  <si>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</si>
  <si>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</si>
  <si>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</si>
  <si>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</si>
  <si>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</si>
  <si>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</si>
  <si>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</si>
  <si>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</si>
  <si>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</si>
  <si>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</si>
  <si>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</si>
  <si>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</si>
  <si>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</si>
  <si>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</si>
  <si>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</si>
  <si>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</si>
  <si>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</si>
  <si>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</si>
  <si>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</si>
  <si>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</si>
  <si>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</si>
  <si>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</si>
  <si>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</si>
  <si>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</si>
  <si>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</si>
  <si>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</si>
  <si>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</si>
  <si>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</si>
  <si>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</si>
  <si>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</si>
  <si>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</si>
  <si>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</si>
  <si>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</si>
  <si>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</si>
  <si>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</si>
  <si>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</si>
  <si>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</si>
  <si>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</si>
  <si>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</si>
  <si>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</si>
  <si>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</si>
  <si>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</si>
  <si>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</si>
  <si>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</si>
  <si>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</si>
  <si>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</si>
  <si>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</si>
  <si>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</si>
  <si>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</si>
  <si>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</si>
  <si>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</si>
  <si>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</si>
  <si>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</si>
  <si>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</si>
  <si>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</si>
  <si>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</si>
  <si>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</si>
  <si>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</si>
  <si>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</si>
  <si>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</si>
  <si>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</si>
  <si>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</si>
  <si>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</si>
  <si>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</si>
  <si>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</si>
  <si>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</si>
  <si>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</si>
  <si>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</si>
  <si>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</si>
  <si>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</si>
  <si>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</si>
  <si>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</si>
  <si>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</si>
  <si>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</si>
  <si>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</si>
  <si>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</si>
  <si>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</si>
  <si>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</si>
  <si>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</si>
  <si>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</si>
  <si>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</si>
  <si>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</si>
  <si>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</si>
  <si>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</si>
  <si>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</si>
  <si>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</si>
  <si>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</si>
  <si>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</si>
  <si>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</si>
  <si>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</si>
  <si>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</si>
  <si>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</si>
  <si>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</si>
  <si>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</si>
  <si>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</si>
  <si>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</si>
  <si>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</si>
  <si>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</si>
  <si>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</si>
  <si>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</si>
  <si>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</si>
  <si>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</si>
  <si>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</si>
  <si>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</si>
  <si>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</si>
  <si>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</si>
  <si>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</si>
  <si>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</si>
  <si>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</si>
  <si>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</si>
  <si>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</si>
  <si>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</si>
  <si>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</si>
  <si>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</si>
  <si>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</si>
  <si>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</si>
  <si>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</si>
  <si>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</si>
  <si>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</si>
  <si>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</si>
  <si>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</si>
  <si>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</si>
  <si>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</si>
  <si>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</si>
  <si>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</si>
  <si>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</si>
  <si>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</si>
  <si>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</si>
  <si>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</si>
  <si>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</si>
  <si>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</si>
  <si>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</si>
  <si>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</si>
  <si>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</si>
  <si>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</si>
  <si>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</si>
  <si>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</si>
  <si>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</si>
  <si>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</si>
  <si>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</si>
  <si>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</si>
  <si>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</si>
  <si>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</si>
  <si>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</si>
  <si>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</si>
  <si>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</si>
  <si>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</si>
  <si>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</si>
  <si>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</si>
  <si>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</si>
  <si>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</si>
  <si>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</si>
  <si>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</si>
  <si>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</si>
  <si>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</si>
  <si>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</si>
  <si>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</si>
  <si>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</si>
  <si>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</si>
  <si>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</si>
  <si>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</si>
  <si>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</si>
  <si>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</si>
  <si>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</si>
  <si>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</si>
  <si>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</si>
  <si>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</si>
  <si>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</si>
  <si>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</si>
  <si>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</si>
  <si>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</si>
  <si>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</si>
  <si>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</si>
  <si>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</si>
  <si>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</si>
  <si>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</si>
  <si>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</si>
  <si>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</si>
  <si>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</si>
  <si>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</si>
  <si>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</si>
  <si>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</si>
  <si>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</si>
  <si>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</si>
  <si>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</si>
  <si>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</si>
  <si>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</si>
  <si>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</si>
  <si>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</si>
  <si>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</si>
  <si>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</si>
  <si>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</si>
  <si>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</si>
  <si>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</si>
  <si>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</si>
  <si>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</si>
  <si>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</si>
  <si>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</si>
  <si>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</si>
  <si>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</si>
  <si>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</si>
  <si>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</si>
  <si>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</si>
  <si>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</si>
  <si>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</si>
  <si>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</si>
  <si>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</si>
  <si>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</si>
  <si>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</si>
  <si>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</si>
  <si>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</si>
  <si>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</si>
  <si>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</si>
  <si>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</si>
  <si>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</si>
  <si>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</si>
  <si>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</si>
  <si>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</si>
  <si>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</si>
  <si>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</si>
  <si>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</si>
  <si>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</si>
  <si>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</si>
  <si>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</si>
  <si>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</si>
  <si>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</si>
  <si>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</si>
  <si>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</si>
  <si>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</si>
  <si>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</si>
  <si>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</si>
  <si>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</si>
  <si>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</si>
  <si>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</si>
  <si>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</si>
  <si>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</si>
  <si>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</si>
  <si>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</si>
  <si>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</si>
  <si>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</si>
  <si>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</si>
  <si>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</si>
  <si>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</si>
  <si>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</si>
  <si>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</si>
  <si>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</si>
  <si>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</si>
  <si>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</si>
  <si>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</si>
  <si>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</si>
  <si>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</si>
  <si>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</si>
  <si>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</si>
  <si>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</si>
  <si>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</si>
  <si>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</si>
  <si>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</si>
  <si>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</si>
  <si>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</si>
  <si>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</si>
  <si>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</si>
  <si>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</si>
  <si>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</si>
  <si>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</si>
  <si>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</si>
  <si>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</si>
  <si>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</si>
  <si>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</si>
  <si>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</si>
  <si>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</si>
  <si>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</si>
  <si>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</si>
  <si>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</si>
  <si>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</si>
  <si>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</si>
  <si>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</si>
  <si>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</si>
  <si>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</si>
  <si>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</si>
  <si>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</si>
  <si>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</si>
  <si>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</si>
  <si>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</si>
  <si>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</si>
  <si>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</si>
  <si>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</si>
  <si>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</si>
  <si>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</si>
  <si>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</si>
  <si>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</si>
  <si>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</si>
  <si>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</si>
  <si>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</si>
  <si>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</si>
  <si>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</si>
  <si>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</si>
  <si>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</si>
  <si>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</si>
  <si>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</si>
  <si>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</si>
  <si>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</si>
  <si>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</si>
  <si>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</si>
  <si>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</si>
  <si>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</si>
  <si>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</si>
  <si>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</si>
  <si>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</si>
  <si>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</si>
  <si>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</si>
  <si>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</si>
  <si>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</si>
  <si>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</si>
  <si>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</si>
  <si>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</si>
  <si>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</si>
  <si>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</si>
  <si>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</si>
  <si>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</si>
  <si>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</si>
  <si>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</si>
  <si>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</si>
  <si>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</si>
  <si>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</si>
  <si>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</si>
  <si>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</si>
  <si>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</si>
  <si>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</si>
  <si>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</si>
  <si>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</si>
  <si>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</si>
  <si>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MALAGA</t>
  </si>
  <si>
    <t>Resumenes por Partidos Judiciales</t>
  </si>
  <si>
    <t>MELILLA</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</si>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</sst>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FvVR7bn5GqZM07gYgJ1YHFBD65cFugpoHNEywonKfvc0T5SN37jxMeA2FA0wSXh5ewwxsqNopvaQ+8JMgOK7A==" saltValue="iK33/KUpXtrXOBDM503v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39</v>
      </c>
      <c r="D10" s="239">
        <f>IF(ISNUMBER(Datos!I10),Datos!I10," - ")</f>
        <v>39</v>
      </c>
      <c r="E10" s="240">
        <f>IF(ISNUMBER(Datos!J10),Datos!J10," - ")</f>
        <v>28</v>
      </c>
      <c r="F10" s="240">
        <f>IF(ISNUMBER(Datos!K10),Datos!K10," - ")</f>
        <v>25</v>
      </c>
      <c r="G10" s="1390" t="str">
        <f>IF(Datos!E10&lt;&gt;"",Datos!E10,Datos!D10)</f>
        <v>37</v>
      </c>
      <c r="H10" s="241">
        <f>IF(ISNUMBER(Datos!L10),Datos!L10," - ")</f>
        <v>42</v>
      </c>
      <c r="I10" s="1400" t="str">
        <f>IF(ISNUMBER(Datos!AS10/Datos!BM10),Datos!AS10/Datos!BM10," - ")</f>
        <v xml:space="preserve"> - </v>
      </c>
      <c r="J10" s="1401">
        <f>IF(ISNUMBER(Datos!BY10/Datos!CN10),Datos!BY10/Datos!CN10," - ")</f>
        <v>0</v>
      </c>
      <c r="K10" s="244">
        <f t="shared" ref="K10:K13" si="1">IF(ISNUMBER((E10-F10)/C10),(E10-F10)/C10," - ")</f>
        <v>7.6923076923076927E-2</v>
      </c>
      <c r="L10" s="1402">
        <f>IF(ISNUMBER(NºAsuntos!I10/NºAsuntos!G10),(NºAsuntos!I10/NºAsuntos!G10)*11," - ")</f>
        <v>18.48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25.263333333333335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39</v>
      </c>
      <c r="D14" s="1407">
        <f>SUBTOTAL(9,D9:D13)</f>
        <v>39</v>
      </c>
      <c r="E14" s="1408">
        <f>SUBTOTAL(9,E9:E13)</f>
        <v>28</v>
      </c>
      <c r="F14" s="1409">
        <f>SUBTOTAL(9,F9:F13)</f>
        <v>25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2143</v>
      </c>
      <c r="D17" s="239">
        <f>IF(ISNUMBER(IF(D_I="SI",Datos!I17,Datos!I17+Datos!AC17)),IF(D_I="SI",Datos!I17,Datos!I17+Datos!AC17)," - ")</f>
        <v>2141</v>
      </c>
      <c r="E17" s="240">
        <f>IF(ISNUMBER(IF(D_I="SI",Datos!J17,Datos!J17+Datos!AD17)),IF(D_I="SI",Datos!J17,Datos!J17+Datos!AD17)," - ")</f>
        <v>1523</v>
      </c>
      <c r="F17" s="240">
        <f>IF(ISNUMBER(IF(D_I="SI",Datos!K17,Datos!K17+Datos!AE17)),IF(D_I="SI",Datos!K17,Datos!K17+Datos!AE17)," - ")</f>
        <v>1374</v>
      </c>
      <c r="G17" s="1390" t="str">
        <f>IF(Datos!E17&lt;&gt;"",Datos!E17,Datos!D17)</f>
        <v>04</v>
      </c>
      <c r="H17" s="241">
        <f>IF(ISNUMBER(IF(D_I="SI",Datos!L17,Datos!L17+Datos!AF17)),IF(D_I="SI",Datos!L17,Datos!L17+Datos!AF17)," - ")</f>
        <v>2292</v>
      </c>
      <c r="I17" s="1400" t="str">
        <f>IF(ISNUMBER(Datos!AS17/Datos!BM17),Datos!AS17/Datos!BM17," - ")</f>
        <v xml:space="preserve"> - </v>
      </c>
      <c r="J17" s="1401">
        <f>IF(ISNUMBER(Datos!BY17/Datos!CN17),Datos!BY17/Datos!CN17," - ")</f>
        <v>0</v>
      </c>
      <c r="K17" s="244">
        <f t="shared" si="3"/>
        <v>6.9528698086794211E-2</v>
      </c>
      <c r="L17" s="1402">
        <f>IF(ISNUMBER(NºAsuntos!I17/NºAsuntos!G17),(NºAsuntos!I17/NºAsuntos!G17)*11," - ")</f>
        <v>18.349344978165938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85</v>
      </c>
      <c r="D18" s="239">
        <f>IF(ISNUMBER(IF(D_I="SI",Datos!I18,Datos!I18+Datos!AC18)),IF(D_I="SI",Datos!I18,Datos!I18+Datos!AC18)," - ")</f>
        <v>85</v>
      </c>
      <c r="E18" s="240">
        <f>IF(ISNUMBER(IF(D_I="SI",Datos!J18,Datos!J18+Datos!AD18)),IF(D_I="SI",Datos!J18,Datos!J18+Datos!AD18)," - ")</f>
        <v>144</v>
      </c>
      <c r="F18" s="240">
        <f>IF(ISNUMBER(IF(D_I="SI",Datos!K18,Datos!K18+Datos!AE18)),IF(D_I="SI",Datos!K18,Datos!K18+Datos!AE18)," - ")</f>
        <v>141</v>
      </c>
      <c r="G18" s="1390" t="str">
        <f>IF(Datos!E18&lt;&gt;"",Datos!E18,Datos!D18)</f>
        <v>37</v>
      </c>
      <c r="H18" s="241">
        <f>IF(ISNUMBER(IF(D_I="SI",Datos!L18,Datos!L18+Datos!AF18)),IF(D_I="SI",Datos!L18,Datos!L18+Datos!AF18)," - ")</f>
        <v>88</v>
      </c>
      <c r="I18" s="1400" t="str">
        <f>IF(ISNUMBER(Datos!AS18/Datos!BM18),Datos!AS18/Datos!BM18," - ")</f>
        <v xml:space="preserve"> - </v>
      </c>
      <c r="J18" s="1401" t="str">
        <f>IF(ISNUMBER((Datos!BY18+Datos!BZ18)/Datos!CN18),(Datos!BY18+Datos!BZ18)/Datos!CN18," - ")</f>
        <v xml:space="preserve"> - </v>
      </c>
      <c r="K18" s="244">
        <f t="shared" si="3"/>
        <v>3.5294117647058823E-2</v>
      </c>
      <c r="L18" s="1402">
        <f>IF(ISNUMBER(NºAsuntos!I18/NºAsuntos!G18),(NºAsuntos!I18/NºAsuntos!G18)*11," - ")</f>
        <v>6.8652482269503547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f t="shared" si="2"/>
        <v>34</v>
      </c>
      <c r="D20" s="239">
        <f>IF(ISNUMBER(Datos!I20),Datos!I20," - ")</f>
        <v>34</v>
      </c>
      <c r="E20" s="240">
        <f>IF(ISNUMBER(Datos!J20),Datos!J20," - ")</f>
        <v>185</v>
      </c>
      <c r="F20" s="240">
        <f>IF(ISNUMBER(Datos!K20),Datos!K20," - ")</f>
        <v>198</v>
      </c>
      <c r="G20" s="1390" t="str">
        <f>IF(Datos!E20&lt;&gt;"",Datos!E20,Datos!D20)</f>
        <v>08</v>
      </c>
      <c r="H20" s="241">
        <f>IF(ISNUMBER(Datos!L20),Datos!L20," - ")</f>
        <v>21</v>
      </c>
      <c r="I20" s="1400" t="str">
        <f>IF(ISNUMBER(Datos!AS20/Datos!BM20),Datos!AS20/Datos!BM20," - ")</f>
        <v xml:space="preserve"> - </v>
      </c>
      <c r="J20" s="1401">
        <f>IF(ISNUMBER(Datos!BY20/Datos!CN20),Datos!BY20/Datos!CN20," - ")</f>
        <v>0</v>
      </c>
      <c r="K20" s="244">
        <f t="shared" si="3"/>
        <v>-0.38235294117647056</v>
      </c>
      <c r="L20" s="1402">
        <f>IF(ISNUMBER(NºAsuntos!I20/NºAsuntos!G20),(NºAsuntos!I20/NºAsuntos!G20)*11," - ")</f>
        <v>1.1666666666666667</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2262</v>
      </c>
      <c r="D23" s="1407">
        <f>SUBTOTAL(9,D16:D22)</f>
        <v>2260</v>
      </c>
      <c r="E23" s="1408">
        <f>SUBTOTAL(9,E16:E22)</f>
        <v>1852</v>
      </c>
      <c r="F23" s="1408">
        <f>SUBTOTAL(9,F16:F22)</f>
        <v>1713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2301</v>
      </c>
      <c r="D31" s="1435">
        <f>SUBTOTAL(9,D9:D30)</f>
        <v>2299</v>
      </c>
      <c r="E31" s="1436">
        <f>SUBTOTAL(9,E9:E30)</f>
        <v>1880</v>
      </c>
      <c r="F31" s="1436">
        <f>SUBTOTAL(9,F9:F30)</f>
        <v>1738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O4yKrJYZx/qCjlslplyQMXmwLWIC56djvnhMPrCC7kq/SZKt9b0yWQ2v36fvxidaEtWxn6SUUlq6AFVzVkVJw==" saltValue="xRCqbinUrwA3HEi30v3B0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rCaGJx5JtWSQin8mTliXjOdl7ISVZDn5Gbf5wcQqIKs/5QBrIWyL3ofGHYNBHrBwTe0FS58BPdVmm0x6zLFpw==" saltValue="ZRRvYY2yX0D4BaEF4vZV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39</v>
      </c>
      <c r="J10" s="194">
        <v>28</v>
      </c>
      <c r="K10" s="194">
        <v>25</v>
      </c>
      <c r="L10" s="194">
        <v>42</v>
      </c>
      <c r="M10" s="194">
        <v>12</v>
      </c>
      <c r="N10" s="194">
        <v>7</v>
      </c>
      <c r="O10" s="194">
        <v>6</v>
      </c>
      <c r="P10" s="194">
        <v>0</v>
      </c>
      <c r="Q10" s="194">
        <v>0</v>
      </c>
      <c r="R10" s="194">
        <v>0</v>
      </c>
      <c r="S10" s="194">
        <v>47</v>
      </c>
      <c r="T10" s="194">
        <v>25</v>
      </c>
      <c r="U10" s="194">
        <v>31</v>
      </c>
      <c r="V10" s="194">
        <v>41</v>
      </c>
      <c r="W10" s="194">
        <v>10</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47</v>
      </c>
      <c r="AZ10" s="139">
        <f t="shared" si="0"/>
        <v>25</v>
      </c>
      <c r="BA10" s="139">
        <f t="shared" si="0"/>
        <v>31</v>
      </c>
      <c r="BB10" s="139">
        <f t="shared" si="0"/>
        <v>41</v>
      </c>
      <c r="BC10" s="135">
        <f t="shared" si="0"/>
        <v>10</v>
      </c>
      <c r="BD10" s="136">
        <f>IF(ISNUMBER(BA10/AZ10),BA10/AZ10," - ")</f>
        <v>1.24</v>
      </c>
      <c r="BE10" s="137">
        <f>IF(ISNUMBER(BB10/BA10),BB10/BA10, " - ")</f>
        <v>1.3225806451612903</v>
      </c>
      <c r="BF10" s="137">
        <f>IF(ISNUMBER(BC10/BA10),BC10/BA10, " - ")</f>
        <v>0.32258064516129031</v>
      </c>
      <c r="BG10" s="209">
        <f>IF(ISNUMBER((AY10+AZ10)/BA10),(AY10+AZ10)/BA10," - ")</f>
        <v>2.3225806451612905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1909</v>
      </c>
      <c r="J12" s="196">
        <v>841</v>
      </c>
      <c r="K12" s="196">
        <v>820</v>
      </c>
      <c r="L12" s="196">
        <v>1930</v>
      </c>
      <c r="M12" s="196">
        <v>212</v>
      </c>
      <c r="N12" s="196">
        <v>224</v>
      </c>
      <c r="O12" s="194">
        <v>517</v>
      </c>
      <c r="P12" s="196">
        <v>330</v>
      </c>
      <c r="Q12" s="196">
        <v>489</v>
      </c>
      <c r="R12" s="196">
        <v>3109</v>
      </c>
      <c r="S12" s="196">
        <v>1563</v>
      </c>
      <c r="T12" s="196">
        <v>955</v>
      </c>
      <c r="U12" s="196">
        <v>1008</v>
      </c>
      <c r="V12" s="196">
        <v>1510</v>
      </c>
      <c r="W12" s="196">
        <v>230</v>
      </c>
      <c r="X12" s="202">
        <v>294</v>
      </c>
      <c r="Y12" s="204">
        <v>132</v>
      </c>
      <c r="Z12" s="194">
        <v>85</v>
      </c>
      <c r="AA12" s="194">
        <v>80</v>
      </c>
      <c r="AB12" s="194">
        <v>137</v>
      </c>
      <c r="AC12" s="196">
        <v>0</v>
      </c>
      <c r="AD12" s="196">
        <v>0</v>
      </c>
      <c r="AE12" s="196">
        <v>0</v>
      </c>
      <c r="AF12" s="202">
        <v>0</v>
      </c>
      <c r="AG12" s="215">
        <v>138</v>
      </c>
      <c r="AH12" s="196">
        <v>53</v>
      </c>
      <c r="AI12" s="196">
        <v>78</v>
      </c>
      <c r="AJ12" s="216">
        <v>113</v>
      </c>
      <c r="AK12" s="195">
        <v>0</v>
      </c>
      <c r="AL12" s="196">
        <v>0</v>
      </c>
      <c r="AM12" s="196">
        <v>0</v>
      </c>
      <c r="AN12" s="202">
        <v>0</v>
      </c>
      <c r="AO12" s="283">
        <v>5</v>
      </c>
      <c r="AP12" s="168">
        <v>5</v>
      </c>
      <c r="AQ12" s="168">
        <v>5</v>
      </c>
      <c r="AR12" s="167">
        <v>5</v>
      </c>
      <c r="AS12" s="381" t="s">
        <v>1075</v>
      </c>
      <c r="AT12" s="216"/>
      <c r="AU12" s="215"/>
      <c r="AV12" s="216"/>
      <c r="AW12" s="215"/>
      <c r="AX12" s="216"/>
      <c r="AY12" s="136">
        <f t="shared" si="1"/>
        <v>1701</v>
      </c>
      <c r="AZ12" s="137">
        <f t="shared" si="1"/>
        <v>1008</v>
      </c>
      <c r="BA12" s="137">
        <f t="shared" si="1"/>
        <v>1086</v>
      </c>
      <c r="BB12" s="137">
        <f t="shared" si="1"/>
        <v>1623</v>
      </c>
      <c r="BC12" s="135">
        <f>IF(ISNUMBER(X12),X12," - ")</f>
        <v>294</v>
      </c>
      <c r="BD12" s="136">
        <f t="shared" si="2"/>
        <v>1.0773809523809523</v>
      </c>
      <c r="BE12" s="137">
        <f t="shared" si="3"/>
        <v>1.4944751381215469</v>
      </c>
      <c r="BF12" s="137">
        <f t="shared" si="4"/>
        <v>0.27071823204419887</v>
      </c>
      <c r="BG12" s="209">
        <f t="shared" si="5"/>
        <v>2.4944751381215471</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1948</v>
      </c>
      <c r="J14" s="197">
        <f t="shared" si="7"/>
        <v>869</v>
      </c>
      <c r="K14" s="197">
        <f t="shared" si="7"/>
        <v>845</v>
      </c>
      <c r="L14" s="197">
        <f t="shared" si="7"/>
        <v>1972</v>
      </c>
      <c r="M14" s="197">
        <f t="shared" si="7"/>
        <v>224</v>
      </c>
      <c r="N14" s="197">
        <f t="shared" si="7"/>
        <v>231</v>
      </c>
      <c r="O14" s="197">
        <f t="shared" si="7"/>
        <v>523</v>
      </c>
      <c r="P14" s="197">
        <f t="shared" si="7"/>
        <v>330</v>
      </c>
      <c r="Q14" s="197">
        <f t="shared" si="7"/>
        <v>489</v>
      </c>
      <c r="R14" s="197">
        <f t="shared" si="7"/>
        <v>3109</v>
      </c>
      <c r="S14" s="197">
        <f t="shared" si="7"/>
        <v>1610</v>
      </c>
      <c r="T14" s="197">
        <f t="shared" si="7"/>
        <v>980</v>
      </c>
      <c r="U14" s="197">
        <f t="shared" si="7"/>
        <v>1039</v>
      </c>
      <c r="V14" s="197">
        <f t="shared" si="7"/>
        <v>1551</v>
      </c>
      <c r="W14" s="197">
        <f t="shared" si="7"/>
        <v>240</v>
      </c>
      <c r="X14" s="197">
        <f t="shared" si="7"/>
        <v>301</v>
      </c>
      <c r="Y14" s="197">
        <f t="shared" si="7"/>
        <v>132</v>
      </c>
      <c r="Z14" s="197">
        <f t="shared" si="7"/>
        <v>85</v>
      </c>
      <c r="AA14" s="197">
        <f t="shared" si="7"/>
        <v>80</v>
      </c>
      <c r="AB14" s="197">
        <f t="shared" si="7"/>
        <v>137</v>
      </c>
      <c r="AC14" s="197">
        <f t="shared" si="7"/>
        <v>0</v>
      </c>
      <c r="AD14" s="197">
        <f t="shared" si="7"/>
        <v>0</v>
      </c>
      <c r="AE14" s="197">
        <f t="shared" si="7"/>
        <v>0</v>
      </c>
      <c r="AF14" s="197">
        <f>SUBTOTAL(9,AF9:AF13)</f>
        <v>0</v>
      </c>
      <c r="AG14" s="197">
        <f t="shared" ref="AG14:AT14" si="8">SUBTOTAL(9,AG8:AG13)</f>
        <v>138</v>
      </c>
      <c r="AH14" s="197">
        <f t="shared" si="8"/>
        <v>53</v>
      </c>
      <c r="AI14" s="197">
        <f t="shared" si="8"/>
        <v>78</v>
      </c>
      <c r="AJ14" s="197">
        <f t="shared" si="8"/>
        <v>113</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1748</v>
      </c>
      <c r="AZ14" s="197">
        <f>SUBTOTAL(9,AZ8:AZ13)</f>
        <v>1033</v>
      </c>
      <c r="BA14" s="197">
        <f>SUBTOTAL(9,BA8:BA13)</f>
        <v>1117</v>
      </c>
      <c r="BB14" s="197">
        <f>SUBTOTAL(9,BB8:BB13)</f>
        <v>1664</v>
      </c>
      <c r="BC14" s="197">
        <f>SUBTOTAL(9,BC8:BC13)</f>
        <v>304</v>
      </c>
      <c r="BD14" s="219">
        <f>IF(ISNUMBER(BA14/AZ14),BA14/AZ14," - ")</f>
        <v>1.0813165537270086</v>
      </c>
      <c r="BE14" s="220">
        <f>IF(ISNUMBER(BB14/BA14),BB14/BA14, " - ")</f>
        <v>1.4897045658012533</v>
      </c>
      <c r="BF14" s="220">
        <f>IF(ISNUMBER(BC14/BA14),BC14/BA14, " - ")</f>
        <v>0.27215756490599818</v>
      </c>
      <c r="BG14" s="221">
        <f>IF(ISNUMBER((AY14+AZ14)/BA14),(AY14+AZ14)/BA14," - ")</f>
        <v>2.4897045658012535</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2141</v>
      </c>
      <c r="J17" s="196">
        <v>1523</v>
      </c>
      <c r="K17" s="196">
        <v>1374</v>
      </c>
      <c r="L17" s="196">
        <v>2292</v>
      </c>
      <c r="M17" s="196">
        <v>186</v>
      </c>
      <c r="N17" s="196">
        <v>695</v>
      </c>
      <c r="O17" s="194">
        <v>19</v>
      </c>
      <c r="P17" s="196">
        <v>54</v>
      </c>
      <c r="Q17" s="196">
        <v>62</v>
      </c>
      <c r="R17" s="196">
        <v>210</v>
      </c>
      <c r="S17" s="196">
        <v>1978</v>
      </c>
      <c r="T17" s="196">
        <v>1275</v>
      </c>
      <c r="U17" s="196">
        <v>1306</v>
      </c>
      <c r="V17" s="196">
        <v>1914</v>
      </c>
      <c r="W17" s="196">
        <v>190</v>
      </c>
      <c r="X17" s="202">
        <v>602</v>
      </c>
      <c r="Y17" s="215">
        <v>0</v>
      </c>
      <c r="Z17" s="196">
        <v>0</v>
      </c>
      <c r="AA17" s="196">
        <v>0</v>
      </c>
      <c r="AB17" s="196">
        <v>0</v>
      </c>
      <c r="AC17" s="196">
        <v>1</v>
      </c>
      <c r="AD17" s="196">
        <v>7</v>
      </c>
      <c r="AE17" s="196">
        <v>8</v>
      </c>
      <c r="AF17" s="202">
        <v>0</v>
      </c>
      <c r="AG17" s="215">
        <v>0</v>
      </c>
      <c r="AH17" s="196">
        <v>0</v>
      </c>
      <c r="AI17" s="196">
        <v>0</v>
      </c>
      <c r="AJ17" s="216">
        <v>0</v>
      </c>
      <c r="AK17" s="195">
        <v>1</v>
      </c>
      <c r="AL17" s="196">
        <v>13</v>
      </c>
      <c r="AM17" s="196">
        <v>13</v>
      </c>
      <c r="AN17" s="202">
        <v>1</v>
      </c>
      <c r="AO17" s="283">
        <v>5</v>
      </c>
      <c r="AP17" s="168">
        <v>5</v>
      </c>
      <c r="AQ17" s="168">
        <v>5</v>
      </c>
      <c r="AR17" s="168">
        <v>5</v>
      </c>
      <c r="AS17" s="381" t="s">
        <v>650</v>
      </c>
      <c r="AT17" s="216"/>
      <c r="AU17" s="215"/>
      <c r="AV17" s="216"/>
      <c r="AW17" s="215"/>
      <c r="AX17" s="216"/>
      <c r="AY17" s="136">
        <f t="shared" si="10"/>
        <v>1978</v>
      </c>
      <c r="AZ17" s="137">
        <f t="shared" si="10"/>
        <v>1275</v>
      </c>
      <c r="BA17" s="137">
        <f t="shared" si="10"/>
        <v>1306</v>
      </c>
      <c r="BB17" s="137">
        <f t="shared" si="10"/>
        <v>1914</v>
      </c>
      <c r="BC17" s="135">
        <f>IF(ISNUMBER(W17),W17," - ")</f>
        <v>190</v>
      </c>
      <c r="BD17" s="136">
        <f t="shared" ref="BD17:BD22" si="12">IF(ISNUMBER(BA17/AZ17),BA17/AZ17," - ")</f>
        <v>1.0243137254901962</v>
      </c>
      <c r="BE17" s="137">
        <f t="shared" ref="BE17:BE22" si="13">IF(ISNUMBER(BB17/BA17),BB17/BA17, " - ")</f>
        <v>1.4655436447166923</v>
      </c>
      <c r="BF17" s="137">
        <f t="shared" ref="BF17:BF22" si="14">IF(ISNUMBER(BC17/BA17),BC17/BA17, " - ")</f>
        <v>0.14548238897396631</v>
      </c>
      <c r="BG17" s="209">
        <f t="shared" si="11"/>
        <v>2.4908116385911181</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85</v>
      </c>
      <c r="J18" s="196">
        <v>144</v>
      </c>
      <c r="K18" s="196">
        <v>141</v>
      </c>
      <c r="L18" s="196">
        <v>88</v>
      </c>
      <c r="M18" s="196">
        <v>22</v>
      </c>
      <c r="N18" s="196">
        <v>44</v>
      </c>
      <c r="O18" s="196">
        <v>0</v>
      </c>
      <c r="P18" s="196">
        <v>0</v>
      </c>
      <c r="Q18" s="196">
        <v>0</v>
      </c>
      <c r="R18" s="196">
        <v>0</v>
      </c>
      <c r="S18" s="196">
        <v>74</v>
      </c>
      <c r="T18" s="196">
        <v>116</v>
      </c>
      <c r="U18" s="196">
        <v>110</v>
      </c>
      <c r="V18" s="196">
        <v>80</v>
      </c>
      <c r="W18" s="196">
        <v>9</v>
      </c>
      <c r="X18" s="202">
        <v>64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74</v>
      </c>
      <c r="AZ18" s="139">
        <f t="shared" si="15"/>
        <v>116</v>
      </c>
      <c r="BA18" s="139">
        <f t="shared" si="15"/>
        <v>110</v>
      </c>
      <c r="BB18" s="139">
        <f t="shared" si="15"/>
        <v>80</v>
      </c>
      <c r="BC18" s="135">
        <f>IF(ISNUMBER(W18),W18," - ")</f>
        <v>9</v>
      </c>
      <c r="BD18" s="136">
        <f>IF(ISNUMBER(BA18/AZ18),BA18/AZ18," - ")</f>
        <v>0.94827586206896552</v>
      </c>
      <c r="BE18" s="137">
        <f>IF(ISNUMBER(BB18/BA18),BB18/BA18, " - ")</f>
        <v>0.72727272727272729</v>
      </c>
      <c r="BF18" s="137">
        <f>IF(ISNUMBER(BC18/BA18),BC18/BA18, " - ")</f>
        <v>8.1818181818181818E-2</v>
      </c>
      <c r="BG18" s="209">
        <f>IF(ISNUMBER((AY18+AZ18)/BA18),(AY18+AZ18)/BA18," - ")</f>
        <v>1.7272727272727273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v>34</v>
      </c>
      <c r="J20" s="196">
        <v>185</v>
      </c>
      <c r="K20" s="196">
        <v>198</v>
      </c>
      <c r="L20" s="196">
        <v>21</v>
      </c>
      <c r="M20" s="196" t="s">
        <v>1193</v>
      </c>
      <c r="N20" s="534">
        <v>198</v>
      </c>
      <c r="O20" s="534">
        <v>0</v>
      </c>
      <c r="P20" s="196" t="s">
        <v>1193</v>
      </c>
      <c r="Q20" s="196" t="s">
        <v>1193</v>
      </c>
      <c r="R20" s="196" t="s">
        <v>1193</v>
      </c>
      <c r="S20" s="196">
        <v>49</v>
      </c>
      <c r="T20" s="196">
        <v>148</v>
      </c>
      <c r="U20" s="196">
        <v>164</v>
      </c>
      <c r="V20" s="196">
        <v>33</v>
      </c>
      <c r="W20" s="196" t="s">
        <v>1193</v>
      </c>
      <c r="X20" s="202">
        <v>164</v>
      </c>
      <c r="Y20" s="215">
        <v>0</v>
      </c>
      <c r="Z20" s="196">
        <v>0</v>
      </c>
      <c r="AA20" s="196">
        <v>0</v>
      </c>
      <c r="AB20" s="196">
        <v>0</v>
      </c>
      <c r="AC20" s="196">
        <v>0</v>
      </c>
      <c r="AD20" s="196">
        <v>0</v>
      </c>
      <c r="AE20" s="196">
        <v>0</v>
      </c>
      <c r="AF20" s="202">
        <v>0</v>
      </c>
      <c r="AG20" s="215">
        <v>0</v>
      </c>
      <c r="AH20" s="196">
        <v>0</v>
      </c>
      <c r="AI20" s="196">
        <v>0</v>
      </c>
      <c r="AJ20" s="216">
        <v>0</v>
      </c>
      <c r="AK20" s="195">
        <v>0</v>
      </c>
      <c r="AL20" s="196">
        <v>0</v>
      </c>
      <c r="AM20" s="196">
        <v>0</v>
      </c>
      <c r="AN20" s="202">
        <v>0</v>
      </c>
      <c r="AO20" s="283">
        <v>0</v>
      </c>
      <c r="AP20" s="168">
        <v>0</v>
      </c>
      <c r="AQ20" s="168">
        <v>0</v>
      </c>
      <c r="AR20" s="168">
        <v>0</v>
      </c>
      <c r="AS20" s="196" t="s">
        <v>69</v>
      </c>
      <c r="AT20" s="216"/>
      <c r="AU20" s="215"/>
      <c r="AV20" s="216"/>
      <c r="AW20" s="215"/>
      <c r="AX20" s="216"/>
      <c r="AY20" s="138">
        <f t="shared" ref="AY20:AY22" si="16">IF(ISNUMBER(S20),S20," - ")</f>
        <v>49</v>
      </c>
      <c r="AZ20" s="139">
        <f t="shared" ref="AZ20:AZ22" si="17">IF(ISNUMBER(T20),T20," - ")</f>
        <v>148</v>
      </c>
      <c r="BA20" s="139">
        <f t="shared" ref="BA20:BA22" si="18">IF(ISNUMBER(U20),U20," - ")</f>
        <v>164</v>
      </c>
      <c r="BB20" s="139">
        <f t="shared" ref="BB20:BB22" si="19">IF(ISNUMBER(V20),V20," - ")</f>
        <v>33</v>
      </c>
      <c r="BC20" s="135" t="str">
        <f t="shared" ref="BC20:BC22" si="20">IF(ISNUMBER(W20),W20," - ")</f>
        <v xml:space="preserve"> - </v>
      </c>
      <c r="BD20" s="136">
        <f t="shared" si="12"/>
        <v>1.1081081081081081</v>
      </c>
      <c r="BE20" s="137">
        <f t="shared" si="13"/>
        <v>0.20121951219512196</v>
      </c>
      <c r="BF20" s="137" t="str">
        <f t="shared" si="14"/>
        <v xml:space="preserve"> - </v>
      </c>
      <c r="BG20" s="209">
        <f t="shared" si="11"/>
        <v>1.2012195121951219</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2260</v>
      </c>
      <c r="J23" s="197">
        <f t="shared" si="21"/>
        <v>1852</v>
      </c>
      <c r="K23" s="197">
        <f t="shared" si="21"/>
        <v>1713</v>
      </c>
      <c r="L23" s="197">
        <f t="shared" si="21"/>
        <v>2401</v>
      </c>
      <c r="M23" s="197">
        <f t="shared" si="21"/>
        <v>208</v>
      </c>
      <c r="N23" s="197">
        <f t="shared" si="21"/>
        <v>937</v>
      </c>
      <c r="O23" s="197">
        <f t="shared" si="21"/>
        <v>19</v>
      </c>
      <c r="P23" s="197">
        <f t="shared" si="21"/>
        <v>54</v>
      </c>
      <c r="Q23" s="197">
        <f t="shared" si="21"/>
        <v>62</v>
      </c>
      <c r="R23" s="197">
        <f t="shared" si="21"/>
        <v>210</v>
      </c>
      <c r="S23" s="197">
        <f t="shared" si="21"/>
        <v>2101</v>
      </c>
      <c r="T23" s="197">
        <f t="shared" si="21"/>
        <v>1539</v>
      </c>
      <c r="U23" s="197">
        <f t="shared" si="21"/>
        <v>1580</v>
      </c>
      <c r="V23" s="197">
        <f t="shared" si="21"/>
        <v>2027</v>
      </c>
      <c r="W23" s="197">
        <f t="shared" si="21"/>
        <v>199</v>
      </c>
      <c r="X23" s="197">
        <f t="shared" si="21"/>
        <v>830</v>
      </c>
      <c r="Y23" s="197">
        <f t="shared" si="21"/>
        <v>0</v>
      </c>
      <c r="Z23" s="197">
        <f t="shared" si="21"/>
        <v>0</v>
      </c>
      <c r="AA23" s="197">
        <f t="shared" si="21"/>
        <v>0</v>
      </c>
      <c r="AB23" s="197">
        <f t="shared" si="21"/>
        <v>0</v>
      </c>
      <c r="AC23" s="197">
        <f t="shared" si="21"/>
        <v>1</v>
      </c>
      <c r="AD23" s="197">
        <f t="shared" si="21"/>
        <v>7</v>
      </c>
      <c r="AE23" s="197">
        <f t="shared" si="21"/>
        <v>8</v>
      </c>
      <c r="AF23" s="197">
        <f t="shared" si="21"/>
        <v>0</v>
      </c>
      <c r="AG23" s="197">
        <f t="shared" si="21"/>
        <v>0</v>
      </c>
      <c r="AH23" s="197">
        <f t="shared" si="21"/>
        <v>0</v>
      </c>
      <c r="AI23" s="197">
        <f t="shared" si="21"/>
        <v>0</v>
      </c>
      <c r="AJ23" s="197">
        <f t="shared" si="21"/>
        <v>0</v>
      </c>
      <c r="AK23" s="197">
        <f t="shared" si="21"/>
        <v>1</v>
      </c>
      <c r="AL23" s="197">
        <f t="shared" si="21"/>
        <v>13</v>
      </c>
      <c r="AM23" s="197">
        <f t="shared" si="21"/>
        <v>13</v>
      </c>
      <c r="AN23" s="197">
        <f t="shared" si="21"/>
        <v>1</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2101</v>
      </c>
      <c r="AZ23" s="197">
        <f>SUBTOTAL(9,AZ15:AZ22)</f>
        <v>1539</v>
      </c>
      <c r="BA23" s="197">
        <f>SUBTOTAL(9,BA15:BA22)</f>
        <v>1580</v>
      </c>
      <c r="BB23" s="197">
        <f>SUBTOTAL(9,BB15:BB22)</f>
        <v>2027</v>
      </c>
      <c r="BC23" s="197">
        <f>SUBTOTAL(9,BC15:BC22)</f>
        <v>199</v>
      </c>
      <c r="BD23" s="219">
        <f>IF(ISNUMBER(BA23/AZ23),BA23/AZ23," - ")</f>
        <v>1.0266406757634827</v>
      </c>
      <c r="BE23" s="220">
        <f>IF(ISNUMBER(BB23/BA23),BB23/BA23, " - ")</f>
        <v>1.2829113924050632</v>
      </c>
      <c r="BF23" s="220">
        <f>IF(ISNUMBER(BC23/BA23),BC23/BA23, " - ")</f>
        <v>0.1259493670886076</v>
      </c>
      <c r="BG23" s="221">
        <f>IF(ISNUMBER((AY23+AZ23)/BA23),(AY23+AZ23)/BA23," - ")</f>
        <v>2.3037974683544302</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4208</v>
      </c>
      <c r="J31" s="144">
        <f t="shared" si="36"/>
        <v>2721</v>
      </c>
      <c r="K31" s="144">
        <f t="shared" si="36"/>
        <v>2558</v>
      </c>
      <c r="L31" s="144">
        <f t="shared" si="36"/>
        <v>4373</v>
      </c>
      <c r="M31" s="144">
        <f t="shared" si="36"/>
        <v>432</v>
      </c>
      <c r="N31" s="144">
        <f t="shared" si="36"/>
        <v>1168</v>
      </c>
      <c r="O31" s="144">
        <f t="shared" si="36"/>
        <v>542</v>
      </c>
      <c r="P31" s="144">
        <f t="shared" si="36"/>
        <v>384</v>
      </c>
      <c r="Q31" s="144">
        <f t="shared" si="36"/>
        <v>551</v>
      </c>
      <c r="R31" s="144">
        <f t="shared" si="36"/>
        <v>3319</v>
      </c>
      <c r="S31" s="144">
        <f t="shared" si="36"/>
        <v>3711</v>
      </c>
      <c r="T31" s="144">
        <f t="shared" si="36"/>
        <v>2519</v>
      </c>
      <c r="U31" s="144">
        <f t="shared" si="36"/>
        <v>2619</v>
      </c>
      <c r="V31" s="144">
        <f t="shared" si="36"/>
        <v>3578</v>
      </c>
      <c r="W31" s="144">
        <f t="shared" si="36"/>
        <v>439</v>
      </c>
      <c r="X31" s="144">
        <f t="shared" si="36"/>
        <v>1131</v>
      </c>
      <c r="Y31" s="144">
        <f t="shared" si="36"/>
        <v>132</v>
      </c>
      <c r="Z31" s="144">
        <f t="shared" si="36"/>
        <v>85</v>
      </c>
      <c r="AA31" s="144">
        <f t="shared" si="36"/>
        <v>80</v>
      </c>
      <c r="AB31" s="144">
        <f t="shared" si="36"/>
        <v>137</v>
      </c>
      <c r="AC31" s="144">
        <f t="shared" si="36"/>
        <v>1</v>
      </c>
      <c r="AD31" s="144">
        <f t="shared" si="36"/>
        <v>7</v>
      </c>
      <c r="AE31" s="144">
        <f t="shared" si="36"/>
        <v>8</v>
      </c>
      <c r="AF31" s="144">
        <f t="shared" si="36"/>
        <v>0</v>
      </c>
      <c r="AG31" s="144">
        <f t="shared" si="36"/>
        <v>138</v>
      </c>
      <c r="AH31" s="144">
        <f t="shared" si="36"/>
        <v>53</v>
      </c>
      <c r="AI31" s="144">
        <f t="shared" si="36"/>
        <v>78</v>
      </c>
      <c r="AJ31" s="144">
        <f t="shared" si="36"/>
        <v>113</v>
      </c>
      <c r="AK31" s="144">
        <f t="shared" si="36"/>
        <v>1</v>
      </c>
      <c r="AL31" s="144">
        <f t="shared" si="36"/>
        <v>13</v>
      </c>
      <c r="AM31" s="144">
        <f t="shared" si="36"/>
        <v>13</v>
      </c>
      <c r="AN31" s="224">
        <f t="shared" si="36"/>
        <v>1</v>
      </c>
      <c r="AO31" s="225">
        <v>6</v>
      </c>
      <c r="AP31" s="225">
        <v>5</v>
      </c>
      <c r="AQ31" s="225">
        <v>5</v>
      </c>
      <c r="AR31" s="225">
        <v>5</v>
      </c>
      <c r="AS31" s="166">
        <f t="shared" si="36"/>
        <v>0</v>
      </c>
      <c r="AT31" s="166">
        <f t="shared" si="36"/>
        <v>0</v>
      </c>
      <c r="AU31" s="225"/>
      <c r="AV31" s="226"/>
      <c r="AW31" s="225"/>
      <c r="AX31" s="226"/>
      <c r="AY31" s="143">
        <f>SUBTOTAL(9,AY9:AY30)</f>
        <v>3849</v>
      </c>
      <c r="AZ31" s="144">
        <f>SUBTOTAL(9,AZ9:AZ30)</f>
        <v>2572</v>
      </c>
      <c r="BA31" s="144">
        <f>SUBTOTAL(9,BA9:BA30)</f>
        <v>2697</v>
      </c>
      <c r="BB31" s="144">
        <f>SUBTOTAL(9,BB9:BB30)</f>
        <v>3691</v>
      </c>
      <c r="BC31" s="145">
        <f>SUBTOTAL(9,BC9:BC30)</f>
        <v>503</v>
      </c>
      <c r="BD31" s="227">
        <f>IF(ISNUMBER(BA31/AZ31),BA31/AZ31," - ")</f>
        <v>1.0486003110419906</v>
      </c>
      <c r="BE31" s="224">
        <f>IF(ISNUMBER(BB31/BA31),BB31/BA31, " - ")</f>
        <v>1.3685576566555433</v>
      </c>
      <c r="BF31" s="224">
        <f>IF(ISNUMBER(BC31/BA31),BC31/BA31, " - ")</f>
        <v>0.18650352243233223</v>
      </c>
      <c r="BG31" s="145">
        <f>IF(ISNUMBER((AY31+AZ31)/BA31),(AY31+AZ31)/BA31," - ")</f>
        <v>2.3807934742306265</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9JNVFx9JXuPiHcvEfXTembECtpVTRmocOjmMb5p7lvsny50nTrv5w66CpzmX2R7mxN5e3WrpwcqZU7qJ5GOEg==" saltValue="7YjECdFPLN0KpegFo9Zb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8fIceP/4Hu6AafLuq9IYRV6kxRgLjdGNL0cZ6imBswEbBiShyyB9N7My/lL8R6HDAn+2cZRg3Klb46kKEjqpA==" saltValue="UQ3KPunjqFv7RMmDcXop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MELILLA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39</v>
      </c>
      <c r="G10" s="543">
        <f>IF(ISNUMBER(Datos!I10),Datos!I10," - ")</f>
        <v>39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25</v>
      </c>
      <c r="AC10" s="547">
        <f>IF(ISNUMBER(Datos!Q10),Datos!Q10," - ")</f>
        <v>0</v>
      </c>
      <c r="AD10" s="549"/>
      <c r="AE10" s="563"/>
      <c r="AF10" s="551">
        <f>IF(ISNUMBER(Datos!L10),Datos!L10,"-")</f>
        <v>42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7</v>
      </c>
      <c r="BE10" s="693" t="str">
        <f>IF(ISNUMBER(Datos!BW10),Datos!BW10," - ")</f>
        <v xml:space="preserve"> - </v>
      </c>
      <c r="BF10" s="762" t="str">
        <f>IF(ISNUMBER(Datos!BX10),Datos!BX10," - ")</f>
        <v xml:space="preserve"> - </v>
      </c>
      <c r="BG10" s="763">
        <f>IF(ISNUMBER(Datos!K10/Datos!J10),Datos!K10/Datos!J10," - ")</f>
        <v>0.8928571428571429</v>
      </c>
      <c r="BH10" s="764">
        <f>IF(ISNUMBER(((Datos!L10/Datos!K10)*11)/factor_trimestre),((Datos!L10/Datos!K10)*11)/factor_trimestre," - ")</f>
        <v>5.04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85</v>
      </c>
      <c r="O12" s="549"/>
      <c r="P12" s="549"/>
      <c r="Q12" s="547">
        <f>IF(ISNUMBER(Datos!P12),Datos!P12,0)</f>
        <v>330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489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137</v>
      </c>
      <c r="AI12" s="549" t="str">
        <f>IF(ISNUMBER(Datos!CD12),Datos!CD12,"-")</f>
        <v>-</v>
      </c>
      <c r="AJ12" s="549" t="str">
        <f>IF(ISNUMBER(Datos!EN12),Datos!EN12," - ")</f>
        <v xml:space="preserve"> - </v>
      </c>
      <c r="AK12" s="549"/>
      <c r="AL12" s="550"/>
      <c r="AM12" s="766">
        <f>IF(ISNUMBER(Datos!R12),Datos!R12," - ")</f>
        <v>3109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212</v>
      </c>
      <c r="BD12" s="693">
        <f>IF(ISNUMBER(Datos!N12),Datos!N12," - ")</f>
        <v>224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0.97192224622030232</v>
      </c>
      <c r="BH12" s="764">
        <f>IF(ISNUMBER(((IF(J_V="SI",Datos!L12/Datos!K12,(Datos!L12+Datos!AB12)/(Datos!K12+Datos!AA12)))*11)/factor_trimestre),((IF(J_V="SI",Datos!L12/Datos!K12,(Datos!L12+Datos!AB12)/(Datos!K12+Datos!AA12)))*11)/factor_trimestre," - ")</f>
        <v>6.8900000000000006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-4.8653610771113832E-2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39</v>
      </c>
      <c r="G14" s="1197">
        <f t="shared" si="1"/>
        <v>39</v>
      </c>
      <c r="H14" s="1198">
        <f t="shared" si="1"/>
        <v>0</v>
      </c>
      <c r="I14" s="1197">
        <f t="shared" si="1"/>
        <v>0</v>
      </c>
      <c r="J14" s="1164">
        <f t="shared" si="1"/>
        <v>0</v>
      </c>
      <c r="K14" s="1164">
        <f t="shared" si="1"/>
        <v>0</v>
      </c>
      <c r="L14" s="1198">
        <f t="shared" si="1"/>
        <v>0</v>
      </c>
      <c r="M14" s="1198">
        <f t="shared" si="1"/>
        <v>0</v>
      </c>
      <c r="N14" s="1198">
        <f t="shared" si="1"/>
        <v>85</v>
      </c>
      <c r="O14" s="1199">
        <f t="shared" si="1"/>
        <v>0</v>
      </c>
      <c r="P14" s="1199">
        <f t="shared" si="1"/>
        <v>0</v>
      </c>
      <c r="Q14" s="1198">
        <f t="shared" si="1"/>
        <v>330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25</v>
      </c>
      <c r="AC14" s="1198">
        <f t="shared" si="2"/>
        <v>489</v>
      </c>
      <c r="AD14" s="1198">
        <f t="shared" si="2"/>
        <v>0</v>
      </c>
      <c r="AE14" s="1198">
        <f t="shared" si="2"/>
        <v>0</v>
      </c>
      <c r="AF14" s="1198">
        <f t="shared" si="2"/>
        <v>42</v>
      </c>
      <c r="AG14" s="1198">
        <f t="shared" si="2"/>
        <v>0</v>
      </c>
      <c r="AH14" s="1198">
        <f t="shared" si="2"/>
        <v>137</v>
      </c>
      <c r="AI14" s="1198">
        <f t="shared" si="2"/>
        <v>0</v>
      </c>
      <c r="AJ14" s="1198">
        <f t="shared" si="2"/>
        <v>0</v>
      </c>
      <c r="AK14" s="1198">
        <f t="shared" si="2"/>
        <v>0</v>
      </c>
      <c r="AL14" s="1198">
        <f t="shared" si="2"/>
        <v>0</v>
      </c>
      <c r="AM14" s="1198">
        <f t="shared" si="2"/>
        <v>3109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224</v>
      </c>
      <c r="BD14" s="1198">
        <f t="shared" si="2"/>
        <v>231</v>
      </c>
      <c r="BE14" s="1198">
        <f t="shared" si="2"/>
        <v>0</v>
      </c>
      <c r="BF14" s="1198">
        <f t="shared" si="2"/>
        <v>0</v>
      </c>
      <c r="BG14" s="1198">
        <f>IF(ISNUMBER(Datos!K14/Datos!J14),Datos!K14/Datos!J14," - ")</f>
        <v>0.97238204833141539</v>
      </c>
      <c r="BH14" s="1202">
        <f>IF(ISNUMBER(((Datos!L14/Datos!K14)*11)/factor_trimestre),((Datos!L14/Datos!K14)*11)/factor_trimestre," - ")</f>
        <v>7.0011834319526622</v>
      </c>
      <c r="BI14" s="1198">
        <f>IF(ISNUMBER('Resol  Asuntos'!D14/NºAsuntos!G14),'Resol  Asuntos'!D14/NºAsuntos!G14," - ")</f>
        <v>0.24216216216216216</v>
      </c>
      <c r="BJ14" s="1198" t="str">
        <f>IF(ISNUMBER(Datos!CI14/Datos!CJ14),Datos!CI14/Datos!CJ14," - ")</f>
        <v xml:space="preserve"> - </v>
      </c>
      <c r="BK14" s="1198">
        <f>SUBTOTAL(9,BK8:BK13)</f>
        <v>0</v>
      </c>
      <c r="BL14" s="1198">
        <f>IF(ISNUMBER((I14-AB14+L14)/(F14)),(I14-AB14+L14)/(F14)," - ")</f>
        <v>-0.64102564102564108</v>
      </c>
      <c r="BM14" s="1203">
        <f>SUBTOTAL(9,BM9:BM13)</f>
        <v>-4.8653610771113832E-2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2143</v>
      </c>
      <c r="G17" s="743">
        <f>IF(ISNUMBER(IF(D_I="SI",Datos!I17,Datos!I17+Datos!AC17)),IF(D_I="SI",Datos!I17,Datos!I17+Datos!AC17)," - ")</f>
        <v>2141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1374</v>
      </c>
      <c r="AC17" s="240">
        <f>IF(ISNUMBER(Datos!Q17),Datos!Q17," - ")</f>
        <v>62</v>
      </c>
      <c r="AD17" s="374"/>
      <c r="AE17" s="562"/>
      <c r="AF17" s="741">
        <f>IF(ISNUMBER(IF(D_I="SI",Datos!L17,Datos!L17+Datos!AF17)),IF(D_I="SI",Datos!L17,Datos!L17+Datos!AF17)," - ")</f>
        <v>2292</v>
      </c>
      <c r="AG17" s="374"/>
      <c r="AH17" s="374"/>
      <c r="AI17" s="374"/>
      <c r="AJ17" s="549"/>
      <c r="AK17" s="374"/>
      <c r="AL17" s="545"/>
      <c r="AM17" s="375">
        <f>IF(ISNUMBER(Datos!R17),Datos!R17," - ")</f>
        <v>210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186</v>
      </c>
      <c r="BD17" s="243">
        <f>IF(ISNUMBER(Datos!N17),Datos!N17," - ")</f>
        <v>695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0.902166776099803</v>
      </c>
      <c r="BH17" s="764">
        <f>IF(ISNUMBER(((IF(D_I="SI",Datos!L17/Datos!K17,(Datos!L17+Datos!AF17)/(Datos!K17+Datos!AE17)))*11)/factor_trimestre),((IF(D_I="SI",Datos!L17/Datos!K17,(Datos!L17+Datos!AF17)/(Datos!K17+Datos!AE17)))*11)/factor_trimestre," - ")</f>
        <v>5.0043668122270741</v>
      </c>
      <c r="BI17" s="266">
        <f>IF(ISNUMBER('Resol  Asuntos'!D17/NºAsuntos!G17),'Resol  Asuntos'!D17/NºAsuntos!G17," - ")</f>
        <v>0.13537117903930132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141</v>
      </c>
      <c r="AC18" s="547">
        <f>IF(ISNUMBER(Datos!Q18),Datos!Q18," - ")</f>
        <v>0</v>
      </c>
      <c r="AD18" s="549"/>
      <c r="AE18" s="562"/>
      <c r="AF18" s="551">
        <f>IF(ISNUMBER(Datos!L18),Datos!L18,"-")</f>
        <v>88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22</v>
      </c>
      <c r="BD18" s="693">
        <f>IF(ISNUMBER(Datos!N18),Datos!N18," - ")</f>
        <v>44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0.97916666666666663</v>
      </c>
      <c r="BH18" s="764">
        <f>IF(ISNUMBER(((IF(D_I="SI",Datos!L18/Datos!K18,(Datos!L18+Datos!AF18)/(Datos!K18+Datos!AE18)))*11)/factor_trimestre),((IF(D_I="SI",Datos!L18/Datos!K18,(Datos!L18+Datos!AF18)/(Datos!K18+Datos!AE18)))*11)/factor_trimestre," - ")</f>
        <v>1.8723404255319149</v>
      </c>
      <c r="BI18" s="763">
        <f>IF(ISNUMBER('Resol  Asuntos'!D18/NºAsuntos!G18),'Resol  Asuntos'!D18/NºAsuntos!G18," - ")</f>
        <v>0.15602836879432624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f>IF(ISNUMBER(Datos!L20+Datos!K20-Datos!J20-L20),Datos!L20+Datos!K20-Datos!J20-L20," - ")</f>
        <v>34</v>
      </c>
      <c r="G20" s="743">
        <f>IF(ISNUMBER(Datos!I20),Datos!I20," - ")</f>
        <v>34</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f>IF(ISNUMBER(Datos!K20),Datos!K20," - ")</f>
        <v>198</v>
      </c>
      <c r="AC20" s="547" t="str">
        <f>IF(ISNUMBER(Datos!Q20),Datos!Q20," - ")</f>
        <v xml:space="preserve"> - </v>
      </c>
      <c r="AD20" s="374"/>
      <c r="AE20" s="562"/>
      <c r="AF20" s="741">
        <f>IF(ISNUMBER(Datos!L20),Datos!L20,"-")</f>
        <v>21</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f>IF(ISNUMBER(Datos!N20),Datos!N20," - ")</f>
        <v>198</v>
      </c>
      <c r="BE20" s="243"/>
      <c r="BF20" s="242" t="str">
        <f>IF(ISNUMBER(Datos!BX20),Datos!BX20," - ")</f>
        <v xml:space="preserve"> - </v>
      </c>
      <c r="BG20" s="763">
        <f>IF(ISNUMBER(Datos!K20/Datos!J20),Datos!K20/Datos!J20," - ")</f>
        <v>1.0702702702702702</v>
      </c>
      <c r="BH20" s="764">
        <f>IF(ISNUMBER(((Datos!L20/Datos!K20)*11)/factor_trimestre),((Datos!L20/Datos!K20)*11)/factor_trimestre," - ")</f>
        <v>0.31818181818181823</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2177</v>
      </c>
      <c r="G23" s="1197">
        <f>SUBTOTAL(9,G16:G22)</f>
        <v>2260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1713</v>
      </c>
      <c r="AC23" s="1198">
        <f t="shared" si="5"/>
        <v>62</v>
      </c>
      <c r="AD23" s="1198">
        <f t="shared" si="5"/>
        <v>0</v>
      </c>
      <c r="AE23" s="1198">
        <f t="shared" si="5"/>
        <v>0</v>
      </c>
      <c r="AF23" s="1198">
        <f t="shared" si="5"/>
        <v>2401</v>
      </c>
      <c r="AG23" s="1198">
        <f t="shared" si="5"/>
        <v>0</v>
      </c>
      <c r="AH23" s="1198">
        <f t="shared" si="5"/>
        <v>0</v>
      </c>
      <c r="AI23" s="1198">
        <f t="shared" si="5"/>
        <v>0</v>
      </c>
      <c r="AJ23" s="1198">
        <f t="shared" si="5"/>
        <v>0</v>
      </c>
      <c r="AK23" s="1198">
        <f t="shared" si="5"/>
        <v>0</v>
      </c>
      <c r="AL23" s="1198">
        <f t="shared" si="5"/>
        <v>0</v>
      </c>
      <c r="AM23" s="1198">
        <f t="shared" si="5"/>
        <v>210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208</v>
      </c>
      <c r="BD23" s="1198">
        <f t="shared" si="5"/>
        <v>937</v>
      </c>
      <c r="BE23" s="1198">
        <f t="shared" si="5"/>
        <v>0</v>
      </c>
      <c r="BF23" s="1198">
        <f t="shared" si="5"/>
        <v>0</v>
      </c>
      <c r="BG23" s="1198">
        <f>IF(ISNUMBER(Datos!K23/Datos!J23),Datos!K23/Datos!J23," - ")</f>
        <v>0.92494600431965446</v>
      </c>
      <c r="BH23" s="1202">
        <f>IF(ISNUMBER(((Datos!L23/Datos!K23)*11)/factor_trimestre),((Datos!L23/Datos!K23)*11)/factor_trimestre," - ")</f>
        <v>4.2049036777583186</v>
      </c>
      <c r="BI23" s="1198">
        <f>SUBTOTAL(9,BI16:BI22)</f>
        <v>0.29139954783362754</v>
      </c>
      <c r="BJ23" s="1198">
        <f>SUBTOTAL(9,BJ16:BJ22)</f>
        <v>0</v>
      </c>
      <c r="BK23" s="1198">
        <f>SUBTOTAL(9,BK16:BK22)</f>
        <v>0</v>
      </c>
      <c r="BL23" s="1198">
        <f>IF(ISNUMBER((I23-AB23+L23)/(F23)),(I23-AB23+L23)/(F23)," - ")</f>
        <v>-0.78686265502985764</v>
      </c>
      <c r="BM23" s="1205">
        <f>IF(ISNUMBER((Datos!P23-Datos!Q23)/(Datos!R23-Datos!P23+Datos!Q23)),(Datos!P23-Datos!Q23)/(Datos!R23-Datos!P23+Datos!Q23)," - ")</f>
        <v>-3.669724770642202E-2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2216</v>
      </c>
      <c r="G31" s="1117">
        <f t="shared" si="18"/>
        <v>2299</v>
      </c>
      <c r="H31" s="1119">
        <f t="shared" si="18"/>
        <v>0</v>
      </c>
      <c r="I31" s="1117">
        <f t="shared" si="18"/>
        <v>0</v>
      </c>
      <c r="J31" s="1119">
        <f t="shared" si="18"/>
        <v>0</v>
      </c>
      <c r="K31" s="1119">
        <f t="shared" si="18"/>
        <v>0</v>
      </c>
      <c r="L31" s="1180">
        <f t="shared" si="18"/>
        <v>0</v>
      </c>
      <c r="M31" s="1180">
        <f t="shared" si="18"/>
        <v>0</v>
      </c>
      <c r="N31" s="1180">
        <f t="shared" si="18"/>
        <v>85</v>
      </c>
      <c r="O31" s="1180">
        <f t="shared" si="18"/>
        <v>0</v>
      </c>
      <c r="P31" s="1180">
        <f t="shared" si="18"/>
        <v>0</v>
      </c>
      <c r="Q31" s="1119">
        <f t="shared" si="18"/>
        <v>384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1738</v>
      </c>
      <c r="AC31" s="1118">
        <f t="shared" si="19"/>
        <v>551</v>
      </c>
      <c r="AD31" s="1118">
        <f t="shared" si="19"/>
        <v>0</v>
      </c>
      <c r="AE31" s="1118">
        <f t="shared" si="19"/>
        <v>0</v>
      </c>
      <c r="AF31" s="1125">
        <f t="shared" si="19"/>
        <v>2443</v>
      </c>
      <c r="AG31" s="1125">
        <f t="shared" si="19"/>
        <v>0</v>
      </c>
      <c r="AH31" s="1125">
        <f t="shared" si="19"/>
        <v>137</v>
      </c>
      <c r="AI31" s="1125">
        <f t="shared" si="19"/>
        <v>0</v>
      </c>
      <c r="AJ31" s="1118">
        <f t="shared" si="19"/>
        <v>0</v>
      </c>
      <c r="AK31" s="1125">
        <f t="shared" si="19"/>
        <v>0</v>
      </c>
      <c r="AL31" s="1125">
        <f t="shared" si="19"/>
        <v>0</v>
      </c>
      <c r="AM31" s="1125">
        <f t="shared" si="19"/>
        <v>3319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432</v>
      </c>
      <c r="BD31" s="1117">
        <f t="shared" si="19"/>
        <v>1168</v>
      </c>
      <c r="BE31" s="1117">
        <f t="shared" si="19"/>
        <v>0</v>
      </c>
      <c r="BF31" s="1127">
        <f t="shared" si="19"/>
        <v>0</v>
      </c>
      <c r="BG31" s="1223">
        <f>IF(ISNUMBER(Datos!K31/Datos!J31),Datos!K31/Datos!J31," - ")</f>
        <v>0.94009555310547588</v>
      </c>
      <c r="BH31" s="1223">
        <f>IF(ISNUMBER(((Datos!L31/Datos!K31)*11)/factor_trimestre),((Datos!L31/Datos!K31)*11)/factor_trimestre," - ")</f>
        <v>5.1286161063330731</v>
      </c>
      <c r="BI31" s="1103">
        <f>IF(ISNUMBER(Datos!J31/Datos!I31),Datos!J31/Datos!I31," - ")</f>
        <v>0.64662547528517111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-0.78429602888086647</v>
      </c>
      <c r="BM31" s="1188">
        <f>IF(ISNUMBER((Datos!P31-Datos!Q31+R31)/(Datos!R31-Datos!P31+Datos!Q31-R31)),(Datos!P31-Datos!Q31+R31)/(Datos!R31-Datos!P31+Datos!Q31-R31)," - ")</f>
        <v>-4.7905909351692484E-2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574.75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1043.2231190835814</v>
      </c>
      <c r="G33" s="674">
        <f>IF(ISNUMBER(STDEV(G8:G30)),STDEV(G8:G30),"-")</f>
        <v>1004.2910434729566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694.08295099155316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107.10208748132384</v>
      </c>
      <c r="BD33" s="673"/>
      <c r="BE33" s="673">
        <f>IF(ISNUMBER(STDEV(BE8:BE30)),STDEV(BE8:BE30),"-")</f>
        <v>0</v>
      </c>
      <c r="BF33" s="678">
        <f>IF(ISNUMBER(STDEV(BF8:BF30)),STDEV(BF8:BF30),"-")</f>
        <v>0</v>
      </c>
      <c r="BG33" s="1052">
        <f>IF(ISNUMBER(STDEV(BG8:BG30)),STDEV(BG8:BG30),"-")</f>
        <v>6.0412921380507946E-2</v>
      </c>
      <c r="BH33" s="1058">
        <f>IF(ISNUMBER(STDEV(BH8:BH30)),STDEV(BH8:BH30),"-")</f>
        <v>2.4764912499097274</v>
      </c>
      <c r="BI33" s="273">
        <f>IF(ISNUMBER(STDEV(BI8:BI30)),STDEV(BI8:BI30),"-")</f>
        <v>7.322601544517543E-2</v>
      </c>
      <c r="BJ33" s="244" t="str">
        <f>IF(ISNUMBER(BL33/BM33),BL33/BM33," - ")</f>
        <v xml:space="preserve"> - </v>
      </c>
      <c r="BK33" s="709"/>
      <c r="BL33" s="681">
        <f>IF(ISNUMBER(STDEV(BL8:BL30)),STDEV(BL8:BL30),"-")</f>
        <v>0.10312234155038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lhi9e74xuJECSDullB+Mcx+0Wy9hIZC51esWB118O5azXxXoCIq4u1pGigw4yIT0iV9M8Svee7va9Ii1K99f1g==" saltValue="fdWb+ELLyqZ+seUeidwA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MELILLA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39</v>
      </c>
      <c r="G10" s="552">
        <f>IF(ISNUMBER(Datos!I10),Datos!I10," - ")</f>
        <v>39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25</v>
      </c>
      <c r="Z10" s="805">
        <f>IF(ISNUMBER(Datos!Q10),Datos!Q10," - ")</f>
        <v>0</v>
      </c>
      <c r="AA10" s="551">
        <f>IF(ISNUMBER(Datos!L10),Datos!L10,"-")</f>
        <v>42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12</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5.04</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489</v>
      </c>
      <c r="AA12" s="551" t="str">
        <f>IF(ISNUMBER(IF(J_V="SI",Datos!L12,Datos!L12+Datos!AB12)-IF(Monitorios="SI",Datos!CD12,0)),
                          IF(J_V="SI",Datos!L12,Datos!L12+Datos!AB12)-IF(Monitorios="SI",Datos!CD12,0),
                          " - ")</f>
        <v xml:space="preserve"> - </v>
      </c>
      <c r="AB12" s="549"/>
      <c r="AC12" s="549"/>
      <c r="AD12" s="563"/>
      <c r="AE12" s="563">
        <f>IF(ISNUMBER(Datos!R12),Datos!R12," - ")</f>
        <v>3109</v>
      </c>
      <c r="AF12" s="693" t="str">
        <f>IF(ISNUMBER(Datos!BV12),Datos!BV12," - ")</f>
        <v xml:space="preserve"> - </v>
      </c>
      <c r="AG12" s="552" t="str">
        <f>IF(ISNUMBER(Datos!DV12),Datos!DV12," - ")</f>
        <v xml:space="preserve"> - </v>
      </c>
      <c r="AH12" s="553"/>
      <c r="AI12" s="554"/>
      <c r="AJ12" s="552">
        <f>IF(ISNUMBER(Datos!M12),Datos!M12," - ")</f>
        <v>212</v>
      </c>
      <c r="AK12" s="693">
        <f>IF(ISNUMBER(Datos!N12),Datos!N12," - ")</f>
        <v>224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6.8900000000000006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-4.8653610771113832E-2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39</v>
      </c>
      <c r="G14" s="1197">
        <f>SUBTOTAL(9,G8:G13)</f>
        <v>39</v>
      </c>
      <c r="H14" s="1211"/>
      <c r="I14" s="1197">
        <f t="shared" ref="I14:N14" si="1">SUBTOTAL(9,I8:I13)</f>
        <v>0</v>
      </c>
      <c r="J14" s="1164">
        <f t="shared" si="1"/>
        <v>0</v>
      </c>
      <c r="K14" s="1211">
        <f t="shared" si="1"/>
        <v>0</v>
      </c>
      <c r="L14" s="1211">
        <f t="shared" si="1"/>
        <v>0</v>
      </c>
      <c r="M14" s="1211">
        <f t="shared" si="1"/>
        <v>0</v>
      </c>
      <c r="N14" s="1211">
        <f t="shared" si="1"/>
        <v>330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25</v>
      </c>
      <c r="Z14" s="1210">
        <f t="shared" si="3"/>
        <v>489</v>
      </c>
      <c r="AA14" s="1199">
        <f t="shared" si="3"/>
        <v>42</v>
      </c>
      <c r="AB14" s="1199">
        <f t="shared" si="3"/>
        <v>0</v>
      </c>
      <c r="AC14" s="1199">
        <f t="shared" si="3"/>
        <v>0</v>
      </c>
      <c r="AD14" s="1199">
        <f t="shared" si="3"/>
        <v>0</v>
      </c>
      <c r="AE14" s="1199">
        <f t="shared" si="3"/>
        <v>3109</v>
      </c>
      <c r="AF14" s="1211">
        <f t="shared" si="3"/>
        <v>0</v>
      </c>
      <c r="AG14" s="1211">
        <f t="shared" si="3"/>
        <v>0</v>
      </c>
      <c r="AH14" s="1211">
        <f t="shared" si="3"/>
        <v>0</v>
      </c>
      <c r="AI14" s="1211">
        <f t="shared" si="3"/>
        <v>0</v>
      </c>
      <c r="AJ14" s="1211">
        <f t="shared" si="3"/>
        <v>224</v>
      </c>
      <c r="AK14" s="1211">
        <f t="shared" si="3"/>
        <v>231</v>
      </c>
      <c r="AL14" s="1211">
        <f t="shared" si="3"/>
        <v>0</v>
      </c>
      <c r="AM14" s="1211">
        <f t="shared" si="3"/>
        <v>0</v>
      </c>
      <c r="AN14" s="1211">
        <f t="shared" si="3"/>
        <v>0</v>
      </c>
      <c r="AO14" s="1203">
        <f>IF(ISNUMBER(((NºAsuntos!I14/NºAsuntos!G14)*11)/factor_trimestre),((NºAsuntos!I14/NºAsuntos!G14)*11)/factor_trimestre," - ")</f>
        <v>6.84</v>
      </c>
      <c r="AP14" s="1213" t="str">
        <f>IF(ISNUMBER(Datos!CI14/Datos!CJ14),Datos!CI14/Datos!CJ14," - ")</f>
        <v xml:space="preserve"> - </v>
      </c>
      <c r="AQ14" s="1236">
        <f t="shared" ref="AQ14:AV14" si="4">SUBTOTAL(9,AQ9:AQ13)</f>
        <v>0</v>
      </c>
      <c r="AR14" s="1236">
        <f t="shared" si="4"/>
        <v>-4.8653610771113832E-2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2143</v>
      </c>
      <c r="G17" s="552">
        <f>IF(ISNUMBER(IF(D_I="SI",Datos!I17,Datos!I17+Datos!AC17)),IF(D_I="SI",Datos!I17,Datos!I17+Datos!AC17)," - ")</f>
        <v>2141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1374</v>
      </c>
      <c r="Z17" s="805">
        <f>IF(ISNUMBER(Datos!Q17),Datos!Q17," - ")</f>
        <v>62</v>
      </c>
      <c r="AA17" s="551">
        <f>IF(ISNUMBER(IF(D_I="SI",Datos!L17,Datos!L17+Datos!AF17)),IF(D_I="SI",Datos!L17,Datos!L17+Datos!AF17)," - ")</f>
        <v>2292</v>
      </c>
      <c r="AB17" s="549"/>
      <c r="AC17" s="549"/>
      <c r="AD17" s="563"/>
      <c r="AE17" s="563">
        <f>IF(ISNUMBER(Datos!R17),Datos!R17," - ")</f>
        <v>210</v>
      </c>
      <c r="AF17" s="693" t="str">
        <f>IF(ISNUMBER(Datos!BV17),Datos!BV17," - ")</f>
        <v xml:space="preserve"> - </v>
      </c>
      <c r="AG17" s="552"/>
      <c r="AH17" s="553"/>
      <c r="AI17" s="554"/>
      <c r="AJ17" s="552">
        <f>IF(ISNUMBER(Datos!M17),Datos!M17," - ")</f>
        <v>186</v>
      </c>
      <c r="AK17" s="693">
        <f>IF(ISNUMBER(Datos!N17),Datos!N17," - ")</f>
        <v>695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5.0043668122270741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141</v>
      </c>
      <c r="Z18" s="805">
        <f>IF(ISNUMBER(Datos!Q18),Datos!Q18," - ")</f>
        <v>0</v>
      </c>
      <c r="AA18" s="551">
        <f>IF(ISNUMBER(Datos!L18),Datos!L18,"-")</f>
        <v>88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22</v>
      </c>
      <c r="AK18" s="693">
        <f>IF(ISNUMBER(Datos!N18),Datos!N18," - ")</f>
        <v>44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1.8723404255319149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2143</v>
      </c>
      <c r="G23" s="1197">
        <f>SUBTOTAL(9,G16:G22)</f>
        <v>2226</v>
      </c>
      <c r="H23" s="1240">
        <f>SUBTOTAL(9,H16:H22)</f>
        <v>0</v>
      </c>
      <c r="I23" s="1217">
        <f>SUBTOTAL(9,I16:I22)</f>
        <v>0</v>
      </c>
      <c r="J23" s="1164">
        <f>SUBTOTAL(9,J15:J22)</f>
        <v>0</v>
      </c>
      <c r="K23" s="1240">
        <f t="shared" ref="K23:S23" si="5">SUBTOTAL(9,K16:K22)</f>
        <v>0</v>
      </c>
      <c r="L23" s="1240">
        <f t="shared" si="5"/>
        <v>0</v>
      </c>
      <c r="M23" s="1240">
        <f t="shared" si="5"/>
        <v>0</v>
      </c>
      <c r="N23" s="1240">
        <f t="shared" si="5"/>
        <v>54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1515</v>
      </c>
      <c r="Z23" s="1240">
        <f t="shared" si="6"/>
        <v>62</v>
      </c>
      <c r="AA23" s="1240">
        <f t="shared" si="6"/>
        <v>2380</v>
      </c>
      <c r="AB23" s="1240">
        <f t="shared" si="6"/>
        <v>0</v>
      </c>
      <c r="AC23" s="1240">
        <f t="shared" si="6"/>
        <v>0</v>
      </c>
      <c r="AD23" s="1240">
        <f t="shared" si="6"/>
        <v>0</v>
      </c>
      <c r="AE23" s="1240">
        <f t="shared" si="6"/>
        <v>210</v>
      </c>
      <c r="AF23" s="1240">
        <f t="shared" si="6"/>
        <v>0</v>
      </c>
      <c r="AG23" s="1240">
        <f t="shared" si="6"/>
        <v>0</v>
      </c>
      <c r="AH23" s="1240">
        <f t="shared" si="6"/>
        <v>0</v>
      </c>
      <c r="AI23" s="1240">
        <f t="shared" si="6"/>
        <v>0</v>
      </c>
      <c r="AJ23" s="1240">
        <f t="shared" si="6"/>
        <v>208</v>
      </c>
      <c r="AK23" s="1240">
        <f t="shared" si="6"/>
        <v>739</v>
      </c>
      <c r="AL23" s="1240">
        <f t="shared" si="6"/>
        <v>0</v>
      </c>
      <c r="AM23" s="1240">
        <f t="shared" si="6"/>
        <v>0</v>
      </c>
      <c r="AN23" s="1240">
        <f t="shared" si="6"/>
        <v>0</v>
      </c>
      <c r="AO23" s="1242">
        <f>IF(ISNUMBER(((NºAsuntos!I23/NºAsuntos!G23)*11)/factor_trimestre),((NºAsuntos!I23/NºAsuntos!G23)*11)/factor_trimestre," - ")</f>
        <v>4.2049036777583186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2182</v>
      </c>
      <c r="G31" s="1117">
        <f t="shared" si="12"/>
        <v>2265</v>
      </c>
      <c r="H31" s="1118">
        <f t="shared" si="12"/>
        <v>0</v>
      </c>
      <c r="I31" s="1117">
        <f t="shared" si="12"/>
        <v>0</v>
      </c>
      <c r="J31" s="1119">
        <f t="shared" si="12"/>
        <v>0</v>
      </c>
      <c r="K31" s="1117">
        <f t="shared" si="12"/>
        <v>0</v>
      </c>
      <c r="L31" s="1120">
        <f t="shared" si="12"/>
        <v>0</v>
      </c>
      <c r="M31" s="1117">
        <f t="shared" si="12"/>
        <v>0</v>
      </c>
      <c r="N31" s="1118">
        <f t="shared" si="12"/>
        <v>384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1540</v>
      </c>
      <c r="Z31" s="1124">
        <f t="shared" si="13"/>
        <v>551</v>
      </c>
      <c r="AA31" s="1125">
        <f t="shared" si="13"/>
        <v>2422</v>
      </c>
      <c r="AB31" s="1125">
        <f t="shared" si="13"/>
        <v>0</v>
      </c>
      <c r="AC31" s="1125">
        <f t="shared" si="13"/>
        <v>0</v>
      </c>
      <c r="AD31" s="1126">
        <f t="shared" si="13"/>
        <v>0</v>
      </c>
      <c r="AE31" s="1126">
        <f t="shared" si="13"/>
        <v>3319</v>
      </c>
      <c r="AF31" s="1127">
        <f t="shared" si="13"/>
        <v>0</v>
      </c>
      <c r="AG31" s="1128">
        <f t="shared" si="13"/>
        <v>0</v>
      </c>
      <c r="AH31" s="1129">
        <f t="shared" si="13"/>
        <v>0</v>
      </c>
      <c r="AI31" s="1127">
        <f t="shared" si="13"/>
        <v>0</v>
      </c>
      <c r="AJ31" s="1117">
        <f t="shared" si="13"/>
        <v>432</v>
      </c>
      <c r="AK31" s="1117">
        <f t="shared" si="13"/>
        <v>970</v>
      </c>
      <c r="AL31" s="1117">
        <f t="shared" si="13"/>
        <v>0</v>
      </c>
      <c r="AM31" s="1130">
        <f t="shared" si="13"/>
        <v>0</v>
      </c>
      <c r="AN31" s="1120">
        <f>IF(ISNUMBER(Datos!K31/Datos!J31),Datos!K31/Datos!J31," - ")</f>
        <v>0.94009555310547588</v>
      </c>
      <c r="AO31" s="1120">
        <f>IF(ISNUMBER(FIND("06",Criterios!A8,1)),(IF(ISNUMBER(((Datos!R31/Datos!Q31)*11)/factor_trimestre),((Datos!R31/Datos!Q31)*11)/factor_trimestre," - ")),(IF(ISNUMBER(((Datos!L31/Datos!K31)*11)/factor_trimestre),((Datos!L31/Datos!K31)*11)/factor_trimestre," - ")))</f>
        <v>5.1286161063330731</v>
      </c>
      <c r="AP31" s="1131" t="str">
        <f>IF(ISNUMBER(Datos!CI31/Datos!CJ31),Datos!CI31/Datos!CJ31," - ")</f>
        <v xml:space="preserve"> - </v>
      </c>
      <c r="AQ31" s="1131">
        <f>IF(OR(ISNUMBER(FIND("01",Criterios!A8,1)),ISNUMBER(FIND("02",Criterios!A8,1)),ISNUMBER(FIND("03",Criterios!A8,1)),ISNUMBER(FIND("04",Criterios!A8,1))),(J31-Y31+K31)/(F31-K31),(I31-Y31+K31)/(F31-K31))</f>
        <v>-0.70577451879010078</v>
      </c>
      <c r="AR31" s="1131">
        <f>IF(ISNUMBER((Datos!P31-Datos!Q31+O31)/(Datos!R31-Datos!P31+Datos!Q31-O31)),(Datos!P31-Datos!Q31+O31)/(Datos!R31-Datos!P31+Datos!Q31-O31)," - ")</f>
        <v>-4.7905909351692484E-2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647.14285714285711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1096.7093811337015</v>
      </c>
      <c r="G33" s="674">
        <f>IF(ISNUMBER(STDEV(G8:G30)),STDEV(G8:G30),"-")</f>
        <v>1050.2116340007267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107.10208748132384</v>
      </c>
      <c r="AK33" s="276"/>
      <c r="AL33" s="276">
        <f>IF(ISNUMBER(STDEV(AL8:AL30)),STDEV(AL8:AL30),"-")</f>
        <v>0</v>
      </c>
      <c r="AM33" s="278">
        <f>IF(ISNUMBER(STDEV(AM8:AM30)),STDEV(AM8:AM30),"-")</f>
        <v>0</v>
      </c>
      <c r="AN33" s="660">
        <f>IF(ISNUMBER(STDEV(AN8:AN30)),STDEV(AN8:AN30),"-")</f>
        <v>0</v>
      </c>
      <c r="AO33" s="661">
        <f>IF(ISNUMBER(STDEV(AO8:AO30)),STDEV(AO8:AO30),"-")</f>
        <v>1.863871334492859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AFo8vo4FybEpU3q/ptUa6rTTmfoJy7LuE7A8lBp/bMo3MJV26UMi93ImxwCuvb0FlXeOEEBfaDrdGgl2eiyIQ==" saltValue="RPnzPPeXPWpZQdV0B7z94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8X0j/c84VAWbFawc1tEruinbo8SzuRFCX+UbjQQnw3fIZX2sog/ODv4sPfBX04oLRVNro80L63ttkB1Jfv6cA==" saltValue="hETja3OdZPlLoZoQQ8RS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HMihUv/BjFaBcpEbHbrDc+Ju0rlDFLyA8zkDckZygNU/z6rb0XrKHw8bt23h7AbTnY0HqHKelIW3mvEfUZvVQ==" saltValue="8JXiOURqy2LmXq7yyaKb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MELILLA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0.24216216216216216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0.17123450701166124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SJhl7bXI6b2Mg1KNHTyLOyLIKGj3o8W+4xNkcZaEYPpZgUrE2CGSeNuHARUFlcZJcuKXhPHgTOfPenQD51UjA==" saltValue="/Ex/ggc/WS10d0alxtrQO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IO8DnE0Tj2TzcJyE35XuUabVsLtPojcLuUn4Z7QbO7gs0DPI5zHAQzoK9J4j6jDJaaVEAeD/+T62Iy2lDXicw==" saltValue="EPY5lj4VYAl6lwVrX99n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MELILLA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39</v>
      </c>
      <c r="D10" s="452">
        <f>IF(ISNUMBER(C10/Datos!BH10),C10/Datos!BH10," - ")</f>
        <v>39</v>
      </c>
      <c r="E10" s="451">
        <f>IF(ISNUMBER(Datos!J10),Datos!J10," - ")</f>
        <v>28</v>
      </c>
      <c r="F10" s="452">
        <f>IF(ISNUMBER(E10/B10),E10/B10," - ")</f>
        <v>28</v>
      </c>
      <c r="G10" s="451">
        <f>IF(ISNUMBER(Datos!K10),Datos!K10," - ")</f>
        <v>25</v>
      </c>
      <c r="H10" s="452">
        <f>IF(ISNUMBER(G10/B10),G10/B10," - ")</f>
        <v>25</v>
      </c>
      <c r="I10" s="451">
        <f>IF(ISNUMBER(Datos!L10),Datos!L10," - ")</f>
        <v>42</v>
      </c>
      <c r="J10" s="452">
        <f>IF(ISNUMBER(I10/B10),I10/B10," - ")</f>
        <v>42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2041</v>
      </c>
      <c r="D12" s="452">
        <f>IF(ISNUMBER(C12/Datos!BH12),C12/Datos!BH12," - ")</f>
        <v>408.2</v>
      </c>
      <c r="E12" s="451">
        <f>IF(ISNUMBER(IF(J_V="SI",Datos!J12,Datos!J12+Datos!Z12)),IF(J_V="SI",Datos!J12,Datos!J12+Datos!Z12)," - ")</f>
        <v>926</v>
      </c>
      <c r="F12" s="452">
        <f>IF(ISNUMBER(E12/B12),E12/B12," - ")</f>
        <v>185.2</v>
      </c>
      <c r="G12" s="451">
        <f>IF(ISNUMBER(IF(J_V="SI",Datos!K12,Datos!K12+Datos!AA12)),IF(J_V="SI",Datos!K12,Datos!K12+Datos!AA12)," - ")</f>
        <v>900</v>
      </c>
      <c r="H12" s="452">
        <f>IF(ISNUMBER(G12/B12),G12/B12," - ")</f>
        <v>180</v>
      </c>
      <c r="I12" s="451">
        <f>IF(ISNUMBER(IF(J_V="SI",Datos!L12,Datos!L12+Datos!AB12)),IF(J_V="SI",Datos!L12,Datos!L12+Datos!AB12)," - ")</f>
        <v>2067</v>
      </c>
      <c r="J12" s="452">
        <f>IF(ISNUMBER(I12/B12),I12/B12," - ")</f>
        <v>413.4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2080</v>
      </c>
      <c r="D14" s="1147" t="str">
        <f>IF(ISNUMBER(C14/Datos!BI14),C14/Datos!BI14," - ")</f>
        <v xml:space="preserve"> - </v>
      </c>
      <c r="E14" s="1146">
        <f>SUBTOTAL(9,E8:E13)</f>
        <v>954</v>
      </c>
      <c r="F14" s="1147">
        <f>IF(ISNUMBER(E14/B14),E14/B14," - ")</f>
        <v>190.8</v>
      </c>
      <c r="G14" s="1146">
        <f>SUBTOTAL(9,G8:G13)</f>
        <v>925</v>
      </c>
      <c r="H14" s="1147">
        <f>IF(ISNUMBER(G14/B14),G14/B14," - ")</f>
        <v>185</v>
      </c>
      <c r="I14" s="1146">
        <f>SUBTOTAL(9,I8:I13)</f>
        <v>2109</v>
      </c>
      <c r="J14" s="1147">
        <f>IF(ISNUMBER(I14/B14),I14/B14," - ")</f>
        <v>421.8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2141</v>
      </c>
      <c r="D17" s="452">
        <f>IF(ISNUMBER(C17/Datos!BH17),C17/Datos!BH17," - ")</f>
        <v>428.2</v>
      </c>
      <c r="E17" s="451">
        <f>IF(ISNUMBER(IF(D_I="SI",Datos!J17,Datos!J17+Datos!AD17)),IF(D_I="SI",Datos!J17,Datos!J17+Datos!AD17)," - ")</f>
        <v>1523</v>
      </c>
      <c r="F17" s="452">
        <f>IF(ISNUMBER(E17/B17),E17/B17," - ")</f>
        <v>304.60000000000002</v>
      </c>
      <c r="G17" s="451">
        <f>IF(ISNUMBER(IF(D_I="SI",Datos!K17,Datos!K17+Datos!AE17)),IF(D_I="SI",Datos!K17,Datos!K17+Datos!AE17)," - ")</f>
        <v>1374</v>
      </c>
      <c r="H17" s="452">
        <f>IF(ISNUMBER(G17/B17),G17/B17," - ")</f>
        <v>274.8</v>
      </c>
      <c r="I17" s="451">
        <f>IF(ISNUMBER(IF(D_I="SI",Datos!L17,Datos!L17+Datos!AF17)),IF(D_I="SI",Datos!L17,Datos!L17+Datos!AF17)," - ")</f>
        <v>2292</v>
      </c>
      <c r="J17" s="452">
        <f>IF(ISNUMBER(I17/B17),I17/B17," - ")</f>
        <v>458.4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85</v>
      </c>
      <c r="D18" s="452">
        <f>IF(ISNUMBER(C18/Datos!BH18),C18/Datos!BH18," - ")</f>
        <v>85</v>
      </c>
      <c r="E18" s="451">
        <f>IF(ISNUMBER(IF(D_I="SI",Datos!J18,Datos!J18+Datos!AD18)),IF(D_I="SI",Datos!J18,Datos!J18+Datos!AD18)," - ")</f>
        <v>144</v>
      </c>
      <c r="F18" s="452">
        <f>IF(ISNUMBER(E18/B18),E18/B18," - ")</f>
        <v>144</v>
      </c>
      <c r="G18" s="451">
        <f>IF(ISNUMBER(IF(D_I="SI",Datos!K18,Datos!K18+Datos!AE18)),IF(D_I="SI",Datos!K18,Datos!K18+Datos!AE18)," - ")</f>
        <v>141</v>
      </c>
      <c r="H18" s="452">
        <f>IF(ISNUMBER(G18/B18),G18/B18," - ")</f>
        <v>141</v>
      </c>
      <c r="I18" s="451">
        <f>IF(ISNUMBER(IF(D_I="SI",Datos!L18,Datos!L18+Datos!AF18)),IF(D_I="SI",Datos!L18,Datos!L18+Datos!AF18)," - ")</f>
        <v>88</v>
      </c>
      <c r="J18" s="452">
        <f>IF(ISNUMBER(I18/B18),I18/B18," - ")</f>
        <v>88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f>IF(ISNUMBER(Datos!I20),Datos!I20," - ")</f>
        <v>34</v>
      </c>
      <c r="D20" s="452" t="str">
        <f>IF(ISNUMBER(C20/Datos!BH20),C20/Datos!BH20," - ")</f>
        <v xml:space="preserve"> - </v>
      </c>
      <c r="E20" s="451">
        <f>IF(ISNUMBER(Datos!J20),Datos!J20," - ")</f>
        <v>185</v>
      </c>
      <c r="F20" s="452" t="str">
        <f>IF(ISNUMBER(E20/B20),E20/B20," - ")</f>
        <v xml:space="preserve"> - </v>
      </c>
      <c r="G20" s="451">
        <f>IF(ISNUMBER(Datos!K20),Datos!K20," - ")</f>
        <v>198</v>
      </c>
      <c r="H20" s="452" t="str">
        <f>IF(ISNUMBER(G20/B20),G20/B20," - ")</f>
        <v xml:space="preserve"> - </v>
      </c>
      <c r="I20" s="451">
        <f>IF(ISNUMBER(Datos!L20),Datos!L20," - ")</f>
        <v>21</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2260</v>
      </c>
      <c r="D23" s="1147" t="str">
        <f>IF(ISNUMBER(C23/Datos!BI23),C23/Datos!BI23," - ")</f>
        <v xml:space="preserve"> - </v>
      </c>
      <c r="E23" s="1146">
        <f>SUBTOTAL(9,E15:E22)</f>
        <v>1852</v>
      </c>
      <c r="F23" s="1147">
        <f>IF(ISNUMBER(E23/B23),E23/B23," - ")</f>
        <v>370.4</v>
      </c>
      <c r="G23" s="1146">
        <f>SUBTOTAL(9,G15:G22)</f>
        <v>1713</v>
      </c>
      <c r="H23" s="1147">
        <f>IF(ISNUMBER(G23/B23),G23/B23," - ")</f>
        <v>342.6</v>
      </c>
      <c r="I23" s="1146">
        <f>SUBTOTAL(9,I15:I22)</f>
        <v>2401</v>
      </c>
      <c r="J23" s="1147">
        <f>IF(ISNUMBER(I23/B23),I23/B23," - ")</f>
        <v>480.2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4340</v>
      </c>
      <c r="D31" s="1085" t="str">
        <f>IF(ISNUMBER(C31/Datos!BI31),C31/Datos!BI31," - ")</f>
        <v xml:space="preserve"> - </v>
      </c>
      <c r="E31" s="1084">
        <f>SUBTOTAL(9,E9:E30)</f>
        <v>2806</v>
      </c>
      <c r="F31" s="1085">
        <f>IF(ISNUMBER(E31/B31),E31/B31," - ")</f>
        <v>561.20000000000005</v>
      </c>
      <c r="G31" s="1084">
        <f>SUBTOTAL(9,G9:G30)</f>
        <v>2638</v>
      </c>
      <c r="H31" s="1085">
        <f>IF(ISNUMBER(G31/B31),G31/B31," - ")</f>
        <v>527.6</v>
      </c>
      <c r="I31" s="1084">
        <f>SUBTOTAL(9,I9:I30)</f>
        <v>4510</v>
      </c>
      <c r="J31" s="1085">
        <f>IF(ISNUMBER(I31/B31),I31/B31," - ")</f>
        <v>902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4HJDTVlrokAqPm3SNoFM4+M7CH/+mBBLPAQKvtATnoykQ/Fnt+aRkXbLsEHbMqhy6WIViuNRPL18JPZftzwow==" saltValue="Ot+CPs+ZHT/gE+dOW3BSU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MELILLA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39</v>
      </c>
      <c r="G10" s="906">
        <f>IF(ISNUMBER(Datos!I10),Datos!I10," - ")</f>
        <v>39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25</v>
      </c>
      <c r="AC10" s="905" t="str">
        <f>IF(ISNUMBER(IF(D_I="SI",DatosP!K18,DatosP!K18+DatosP!AE18)),IF(D_I="SI",DatosP!K18,DatosP!K18+DatosP!AE18)," - ")</f>
        <v xml:space="preserve"> - </v>
      </c>
      <c r="AD10" s="907"/>
      <c r="AE10" s="907"/>
      <c r="AF10" s="910">
        <f>IF(ISNUMBER(Datos!L10),Datos!L10,"-")</f>
        <v>42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5.04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489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3109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212</v>
      </c>
      <c r="AM12" s="914">
        <f>IF(ISNUMBER(Datos!N12+DatosP!N17),Datos!N12+DatosP!N17," - ")</f>
        <v>224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6.8900000000000006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-4.8653610771113832E-2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39</v>
      </c>
      <c r="G14" s="1256">
        <f t="shared" si="0"/>
        <v>39</v>
      </c>
      <c r="H14" s="1256">
        <f t="shared" si="0"/>
        <v>0</v>
      </c>
      <c r="I14" s="1258">
        <f t="shared" si="0"/>
        <v>0</v>
      </c>
      <c r="J14" s="1257">
        <f t="shared" si="0"/>
        <v>0</v>
      </c>
      <c r="K14" s="1257">
        <f t="shared" si="0"/>
        <v>0</v>
      </c>
      <c r="L14" s="1259">
        <f t="shared" si="0"/>
        <v>0</v>
      </c>
      <c r="M14" s="1259">
        <f t="shared" si="0"/>
        <v>0</v>
      </c>
      <c r="N14" s="1257">
        <f t="shared" si="0"/>
        <v>330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25</v>
      </c>
      <c r="AC14" s="1257">
        <f t="shared" si="1"/>
        <v>0</v>
      </c>
      <c r="AD14" s="1257">
        <f t="shared" si="1"/>
        <v>489</v>
      </c>
      <c r="AE14" s="1257">
        <f t="shared" si="1"/>
        <v>0</v>
      </c>
      <c r="AF14" s="1257">
        <f t="shared" si="1"/>
        <v>42</v>
      </c>
      <c r="AG14" s="1257">
        <f t="shared" si="1"/>
        <v>0</v>
      </c>
      <c r="AH14" s="1257">
        <f t="shared" si="1"/>
        <v>3109</v>
      </c>
      <c r="AI14" s="1257">
        <f t="shared" si="1"/>
        <v>0</v>
      </c>
      <c r="AJ14" s="1257">
        <f t="shared" si="1"/>
        <v>0</v>
      </c>
      <c r="AK14" s="1257">
        <f t="shared" si="1"/>
        <v>0</v>
      </c>
      <c r="AL14" s="1257">
        <f t="shared" si="1"/>
        <v>224</v>
      </c>
      <c r="AM14" s="1257">
        <f t="shared" si="1"/>
        <v>231</v>
      </c>
      <c r="AN14" s="1257">
        <f t="shared" si="1"/>
        <v>0</v>
      </c>
      <c r="AO14" s="1257">
        <f t="shared" si="1"/>
        <v>0</v>
      </c>
      <c r="AP14" s="1262">
        <f>IF(ISNUMBER(((Datos!L14/Datos!K14)*11)/factor_trimestre),((Datos!L14/Datos!K14)*11)/factor_trimestre," - ")</f>
        <v>7.0011834319526622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-0.64102564102564108</v>
      </c>
      <c r="AU14" s="1257" t="str">
        <f>IF(ISNUMBER((DatosP!#REF!-DatosP!#REF!+DatosP!#REF!)/(DatosP!#REF!+DatosP!#REF!-DatosP!#REF!-DatosP!#REF!)),(DatosP!#REF!-DatosP!#REF!+DatosP!#REF!)/(DatosP!#REF!+DatosP!#REF!-DatosP!#REF!-DatosP!#REF!)," - ")</f>
        <v xml:space="preserve"> - </v>
      </c>
      <c r="AV14" s="1263">
        <f>SUBTOTAL(9,AV9:AV13)</f>
        <v>-4.8653610771113832E-2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4.2049036777583186</v>
      </c>
      <c r="AQ23" s="1262">
        <f>IF(ISNUMBER(((Datos!M23/Datos!L23)*11)/factor_trimestre),((Datos!M23/Datos!L23)*11)/factor_trimestre," - ")</f>
        <v>0.25989171178675552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-3.669724770642202E-2</v>
      </c>
      <c r="AW23" s="1265">
        <f>IF(ISNUMBER((Datos!Q23-Datos!R23)/(Datos!S23-Datos!Q23+Datos!R23)),(Datos!Q23-Datos!R23)/(Datos!S23-Datos!Q23+Datos!R23)," - ")</f>
        <v>-6.5807025344597606E-2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39</v>
      </c>
      <c r="G31" s="1278">
        <f t="shared" si="8"/>
        <v>39</v>
      </c>
      <c r="H31" s="1278">
        <f t="shared" si="8"/>
        <v>0</v>
      </c>
      <c r="I31" s="1279">
        <f t="shared" si="8"/>
        <v>0</v>
      </c>
      <c r="J31" s="1280">
        <f t="shared" si="8"/>
        <v>0</v>
      </c>
      <c r="K31" s="1280">
        <f t="shared" si="8"/>
        <v>0</v>
      </c>
      <c r="L31" s="1280">
        <f t="shared" si="8"/>
        <v>0</v>
      </c>
      <c r="M31" s="1280">
        <f t="shared" si="8"/>
        <v>0</v>
      </c>
      <c r="N31" s="1279">
        <f t="shared" si="8"/>
        <v>330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25</v>
      </c>
      <c r="AC31" s="1284">
        <f t="shared" si="9"/>
        <v>0</v>
      </c>
      <c r="AD31" s="1284">
        <f t="shared" si="9"/>
        <v>489</v>
      </c>
      <c r="AE31" s="1284">
        <f t="shared" si="9"/>
        <v>0</v>
      </c>
      <c r="AF31" s="1285">
        <f t="shared" si="9"/>
        <v>42</v>
      </c>
      <c r="AG31" s="1285">
        <f t="shared" si="9"/>
        <v>0</v>
      </c>
      <c r="AH31" s="1285">
        <f t="shared" si="9"/>
        <v>3109</v>
      </c>
      <c r="AI31" s="1285">
        <f t="shared" si="9"/>
        <v>0</v>
      </c>
      <c r="AJ31" s="1286">
        <f t="shared" si="9"/>
        <v>0</v>
      </c>
      <c r="AK31" s="1286">
        <f t="shared" si="9"/>
        <v>0</v>
      </c>
      <c r="AL31" s="1278">
        <f t="shared" si="9"/>
        <v>224</v>
      </c>
      <c r="AM31" s="1278">
        <f t="shared" si="9"/>
        <v>231</v>
      </c>
      <c r="AN31" s="1278">
        <f t="shared" si="9"/>
        <v>0</v>
      </c>
      <c r="AO31" s="1278">
        <f t="shared" si="9"/>
        <v>0</v>
      </c>
      <c r="AP31" s="1278">
        <f>IF(ISNUMBER(((Datos!L31/Datos!K31)*11)/factor_trimestre),((Datos!L31/Datos!K31)*11)/factor_trimestre," - ")</f>
        <v>5.1286161063330731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-0.64102564102564108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-4.7905909351692484E-2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21.361179742701477</v>
      </c>
      <c r="G33" s="1007">
        <f>IF(ISNUMBER(STDEV(G8:G30)),STDEV(G8:G30),"-")</f>
        <v>21.361179742701477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13.693063937629153</v>
      </c>
      <c r="AC33" s="1008">
        <f>IF(ISNUMBER(STDEV(AC8:AC30)),STDEV(AC8:AC30),"-")</f>
        <v>0</v>
      </c>
      <c r="AD33" s="1011"/>
      <c r="AE33" s="1011"/>
      <c r="AF33" s="1011"/>
      <c r="AG33" s="1011"/>
      <c r="AH33" s="1011"/>
      <c r="AI33" s="1011"/>
      <c r="AJ33" s="1012">
        <f>IF(ISNUMBER(STDEV(AJ8:AJ30)),STDEV(AJ8:AJ30),"-")</f>
        <v>0</v>
      </c>
      <c r="AK33" s="1014"/>
      <c r="AL33" s="1006">
        <f>IF(ISNUMBER(STDEV(AL8:AL30)),STDEV(AL8:AL30),"-")</f>
        <v>111.18752927674339</v>
      </c>
      <c r="AM33" s="1006"/>
      <c r="AN33" s="1006">
        <f>IF(ISNUMBER(STDEV(AN8:AN30)),STDEV(AN8:AN30),"-")</f>
        <v>0</v>
      </c>
      <c r="AO33" s="1012">
        <f>IF(ISNUMBER(STDEV(AO8:AO30)),STDEV(AO8:AO30),"-")</f>
        <v>0</v>
      </c>
      <c r="AP33" s="1065">
        <f>IF(ISNUMBER(STDEV(AP8:AP30)),STDEV(AP8:AP30),"-")</f>
        <v>1.384660331397837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5ebnGOVaRByidjZ0rkyNLasUz9ubVwV38TDdo9TAPpqvc1ITN79HzdZMr5Kv8vGDjSGBXog+4cDtDY1I149Mg==" saltValue="98+SYmnk5xGU0jeyvump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MELILLA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2d/PmPl9nT+yL3DqHza3ZXDEspJgL1ABTl0nbK+rqwgB382d3cReA4r1IWkd17+MXrOq1u+vmpNCPJxHfze8vA==" saltValue="9aPk+WbrTTE06ewWCDfRV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MELILLA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12</v>
      </c>
      <c r="E10" s="452">
        <f>IF(ISNUMBER(D10/B10),D10/B10," - ")</f>
        <v>12</v>
      </c>
      <c r="F10" s="451">
        <f>IF(ISNUMBER(Datos!N10),Datos!N10," - ")</f>
        <v>7</v>
      </c>
      <c r="G10" s="452">
        <f>IF(ISNUMBER(F10/B10),F10/B10," - ")</f>
        <v>7</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212</v>
      </c>
      <c r="E12" s="452">
        <f t="shared" si="0"/>
        <v>42.4</v>
      </c>
      <c r="F12" s="451">
        <f>IF(ISNUMBER(Datos!N12),Datos!N12," - ")</f>
        <v>224</v>
      </c>
      <c r="G12" s="452">
        <f t="shared" si="1"/>
        <v>44.8</v>
      </c>
      <c r="H12" s="451">
        <f>IF(ISNUMBER(Datos!O12),Datos!O12," - ")</f>
        <v>517</v>
      </c>
      <c r="I12" s="452">
        <f t="shared" si="2"/>
        <v>103.4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224</v>
      </c>
      <c r="E14" s="1147">
        <f t="shared" si="0"/>
        <v>37.333333333333336</v>
      </c>
      <c r="F14" s="1146">
        <f>SUBTOTAL(9,F9:F13)</f>
        <v>231</v>
      </c>
      <c r="G14" s="1147">
        <f t="shared" si="1"/>
        <v>38.5</v>
      </c>
      <c r="H14" s="1146">
        <f>SUBTOTAL(9,H9:H13)</f>
        <v>523</v>
      </c>
      <c r="I14" s="1147">
        <f>IF(ISNUMBER(H14/B14),H14/B14," - ")</f>
        <v>87.166666666666671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186</v>
      </c>
      <c r="E17" s="452">
        <f t="shared" si="3"/>
        <v>37.200000000000003</v>
      </c>
      <c r="F17" s="451">
        <f>IF(ISNUMBER(Datos!N17),Datos!N17," - ")</f>
        <v>695</v>
      </c>
      <c r="G17" s="452">
        <f t="shared" si="4"/>
        <v>139</v>
      </c>
      <c r="H17" s="451">
        <f>IF(ISNUMBER(Datos!O17),Datos!O17," - ")</f>
        <v>19</v>
      </c>
      <c r="I17" s="452">
        <f t="shared" si="5"/>
        <v>3.8</v>
      </c>
    </row>
    <row r="18" spans="1:9">
      <c r="A18" s="450" t="str">
        <f>Datos!A18</f>
        <v>Jdos. Violencia contra la mujer</v>
      </c>
      <c r="B18" s="480">
        <f>Datos!AO18</f>
        <v>1</v>
      </c>
      <c r="C18" s="481">
        <f>Datos!AQ18</f>
        <v>0</v>
      </c>
      <c r="D18" s="451">
        <f>IF(ISNUMBER(Datos!M18),Datos!M18," - ")</f>
        <v>22</v>
      </c>
      <c r="E18" s="452">
        <f>IF(ISNUMBER(D18/B18),D18/B18," - ")</f>
        <v>22</v>
      </c>
      <c r="F18" s="451">
        <f>IF(ISNUMBER(Datos!N18),Datos!N18," - ")</f>
        <v>44</v>
      </c>
      <c r="G18" s="452">
        <f>IF(ISNUMBER(F18/B18),F18/B18," - ")</f>
        <v>44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f>IF(ISNUMBER(Datos!N20),Datos!N20," - ")</f>
        <v>198</v>
      </c>
      <c r="G20" s="452" t="str">
        <f t="shared" si="4"/>
        <v xml:space="preserve"> - </v>
      </c>
      <c r="H20" s="451">
        <f>IF(ISNUMBER(Datos!O20),Datos!O20," - ")</f>
        <v>0</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208</v>
      </c>
      <c r="E23" s="1147">
        <f t="shared" si="3"/>
        <v>34.666666666666664</v>
      </c>
      <c r="F23" s="1146">
        <f>SUBTOTAL(9,F16:F22)</f>
        <v>937</v>
      </c>
      <c r="G23" s="1147">
        <f t="shared" si="4"/>
        <v>156.16666666666666</v>
      </c>
      <c r="H23" s="1146">
        <f>SUBTOTAL(9,H16:H22)</f>
        <v>19</v>
      </c>
      <c r="I23" s="1147">
        <f>IF(ISNUMBER(H23/B23),H23/B23," - ")</f>
        <v>3.1666666666666665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432</v>
      </c>
      <c r="E31" s="1085">
        <f>IF(ISNUMBER(D31/B31),D31/B31," - ")</f>
        <v>86.4</v>
      </c>
      <c r="F31" s="1084">
        <f>SUBTOTAL(9,F8:F30)</f>
        <v>1168</v>
      </c>
      <c r="G31" s="1085">
        <f>IF(ISNUMBER(F31/B31),F31/B31," - ")</f>
        <v>233.6</v>
      </c>
      <c r="H31" s="1084">
        <f>SUBTOTAL(9,H8:H30)</f>
        <v>542</v>
      </c>
      <c r="I31" s="1085">
        <f>IF(ISNUMBER(H31/B31),H31/B31," - ")</f>
        <v>108.4</v>
      </c>
    </row>
    <row r="34" spans="1:1">
      <c r="A34" s="439" t="str">
        <f>Criterios!A4</f>
        <v>Fecha Informe: 05 may. 2023</v>
      </c>
    </row>
    <row r="39" spans="1:1">
      <c r="A39" s="462"/>
    </row>
  </sheetData>
  <sheetProtection algorithmName="SHA-512" hashValue="B5QoVOK3e5Ccuo4qG3QxOu0ZGmnwhaiolp4QB7ct5HamdSfEjjlocFO+iQmP4lPiytXBEa0eDNsA/HLcCgqiWA==" saltValue="/ogL2BfOCBikBDbNSr/V0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MELILLA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330</v>
      </c>
      <c r="C12" s="489">
        <f>IF(ISNUMBER(Datos!Q12),Datos!Q12," - ")</f>
        <v>489</v>
      </c>
      <c r="D12" s="456">
        <f>IF(ISNUMBER(Datos!R12),Datos!R12," - ")</f>
        <v>3109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330</v>
      </c>
      <c r="C14" s="1150">
        <f>SUBTOTAL(9,C9:C13)</f>
        <v>489</v>
      </c>
      <c r="D14" s="1148">
        <f>SUBTOTAL(9,D9:D13)</f>
        <v>3109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54</v>
      </c>
      <c r="C17" s="489">
        <f>IF(ISNUMBER(Datos!Q17),Datos!Q17," - ")</f>
        <v>62</v>
      </c>
      <c r="D17" s="456">
        <f>IF(ISNUMBER(Datos!R17),Datos!R17," - ")</f>
        <v>210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54</v>
      </c>
      <c r="C23" s="1150">
        <f>SUBTOTAL(9,C16:C22)</f>
        <v>62</v>
      </c>
      <c r="D23" s="1148">
        <f>SUBTOTAL(9,D16:D22)</f>
        <v>210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384</v>
      </c>
      <c r="C31" s="1089">
        <f>SUBTOTAL(9,C8:C30)</f>
        <v>551</v>
      </c>
      <c r="D31" s="1090">
        <f>SUBTOTAL(9,D8:D30)</f>
        <v>3319</v>
      </c>
    </row>
    <row r="32" spans="1:4" ht="7.5" customHeight="1"/>
    <row r="33" spans="1:1" ht="6" customHeight="1"/>
    <row r="34" spans="1:1">
      <c r="A34" s="439" t="str">
        <f>Criterios!A4</f>
        <v>Fecha Informe: 05 may. 2023</v>
      </c>
    </row>
    <row r="39" spans="1:1">
      <c r="A39" s="462"/>
    </row>
  </sheetData>
  <sheetProtection algorithmName="SHA-512" hashValue="7YiKynPB1OtfYZ00J8z6QFGdYb8T9ZHzRERUoMl58BSg7YZic/IfmrMFlRqLBOa3+drHzVl/tzzCJcChyf+4Tg==" saltValue="J93UlzVZeuMs/2I8qdgB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MELILLA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-0.1702127659574468</v>
      </c>
      <c r="C10" s="515">
        <f>IF(ISNUMBER((Datos!J10-Datos!T10)/Datos!T10),(Datos!J10-Datos!T10)/Datos!T10," - ")</f>
        <v>0.12</v>
      </c>
      <c r="D10" s="515">
        <f>IF(ISNUMBER((Datos!K10-Datos!U10)/Datos!U10),(Datos!K10-Datos!U10)/Datos!U10," - ")</f>
        <v>-0.19354838709677419</v>
      </c>
      <c r="E10" s="515">
        <f>IF(ISNUMBER((Datos!L10-Datos!V10)/Datos!V10),(Datos!L10-Datos!V10)/Datos!V10," - ")</f>
        <v>2.4390243902439025E-2</v>
      </c>
      <c r="F10" s="515">
        <f>IF(ISNUMBER((Datos!M10-Datos!W10)/Datos!W10),(Datos!M10-Datos!W10)/Datos!W10," - ")</f>
        <v>0.2</v>
      </c>
      <c r="G10" s="516">
        <f>IF(ISNUMBER((Datos!N10-Datos!X10)/Datos!X10),(Datos!N10-Datos!X10)/Datos!X10," - ")</f>
        <v>0</v>
      </c>
      <c r="H10" s="514">
        <f>IF(ISNUMBER(((NºAsuntos!G10/NºAsuntos!E10)-Datos!BD10)/Datos!BD10),((NºAsuntos!G10/NºAsuntos!E10)-Datos!BD10)/Datos!BD10," - ")</f>
        <v>-0.27995391705069123</v>
      </c>
      <c r="I10" s="515">
        <f>IF(ISNUMBER(((NºAsuntos!I10/NºAsuntos!G10)-Datos!BE10)/Datos!BE10),((NºAsuntos!I10/NºAsuntos!G10)-Datos!BE10)/Datos!BE10," - ")</f>
        <v>0.27024390243902441</v>
      </c>
      <c r="J10" s="521">
        <f>IF(ISNUMBER((('Resol  Asuntos'!D10/NºAsuntos!G10)-Datos!BF10)/Datos!BF10),(('Resol  Asuntos'!D10/NºAsuntos!G10)-Datos!BF10)/Datos!BF10," - ")</f>
        <v>0.48799999999999999</v>
      </c>
      <c r="K10" s="522">
        <f>IF(ISNUMBER((((NºAsuntos!C10+NºAsuntos!E10)/NºAsuntos!G10)-Datos!BG10)/Datos!BG10),(((NºAsuntos!C10+NºAsuntos!E10)/NºAsuntos!G10)-Datos!BG10)/Datos!BG10," - ")</f>
        <v>0.15388888888888888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0.19988242210464433</v>
      </c>
      <c r="C12" s="515">
        <f>IF(ISNUMBER(
   IF(J_V="SI",(Datos!J12-Datos!T12)/Datos!T12,(Datos!J12+Datos!Z12-(Datos!T12+Datos!AH12))/(Datos!T12+Datos!AH12))
     ),IF(J_V="SI",(Datos!J12-Datos!T12)/Datos!T12,(Datos!J12+Datos!Z12-(Datos!T12+Datos!AH12))/(Datos!T12+Datos!AH12))," - ")</f>
        <v>-8.1349206349206352E-2</v>
      </c>
      <c r="D12" s="515">
        <f>IF(ISNUMBER(
   IF(J_V="SI",(Datos!K12-Datos!U12)/Datos!U12,(Datos!K12+Datos!AA12-(Datos!U12+Datos!AI12))/(Datos!U12+Datos!AI12))
     ),IF(J_V="SI",(Datos!K12-Datos!U12)/Datos!U12,(Datos!K12+Datos!AA12-(Datos!U12+Datos!AI12))/(Datos!U12+Datos!AI12))," - ")</f>
        <v>-0.17127071823204421</v>
      </c>
      <c r="E12" s="515">
        <f>IF(ISNUMBER(
   IF(J_V="SI",(Datos!L12-Datos!V12)/Datos!V12,(Datos!L12+Datos!AB12-(Datos!V12+Datos!AJ12))/(Datos!V12+Datos!AJ12))
     ),IF(J_V="SI",(Datos!L12-Datos!V12)/Datos!V12,(Datos!L12+Datos!AB12-(Datos!V12+Datos!AJ12))/(Datos!V12+Datos!AJ12))," - ")</f>
        <v>0.2735674676524954</v>
      </c>
      <c r="F12" s="515">
        <f>IF(ISNUMBER((Datos!M12-Datos!W12)/Datos!W12),(Datos!M12-Datos!W12)/Datos!W12," - ")</f>
        <v>-7.8260869565217397E-2</v>
      </c>
      <c r="G12" s="516">
        <f>IF(ISNUMBER((Datos!N12-Datos!X12)/Datos!X12),(Datos!N12-Datos!X12)/Datos!X12," - ")</f>
        <v>-0.23809523809523808</v>
      </c>
      <c r="H12" s="514">
        <f>IF(ISNUMBER(((NºAsuntos!G12/NºAsuntos!E12)-Datos!BD12)/Datos!BD12),((NºAsuntos!G12/NºAsuntos!E12)-Datos!BD12)/Datos!BD12," - ")</f>
        <v>-9.7884323950216581E-2</v>
      </c>
      <c r="I12" s="515">
        <f>IF(ISNUMBER(((NºAsuntos!I12/NºAsuntos!G12)-Datos!BE12)/Datos!BE12),((NºAsuntos!I12/NºAsuntos!G12)-Datos!BE12)/Datos!BE12," - ")</f>
        <v>0.5367714109673446</v>
      </c>
      <c r="J12" s="521">
        <f>IF(ISNUMBER((('Resol  Asuntos'!D12/NºAsuntos!G12)-Datos!BF12)/Datos!BF12),(('Resol  Asuntos'!D12/NºAsuntos!G12)-Datos!BF12)/Datos!BF12," - ")</f>
        <v>-0.12988662131519269</v>
      </c>
      <c r="K12" s="522">
        <f>IF(ISNUMBER((((NºAsuntos!C12+NºAsuntos!E12)/NºAsuntos!G12)-Datos!BG12)/Datos!BG12),(((NºAsuntos!C12+NºAsuntos!E12)/NºAsuntos!G12)-Datos!BG12)/Datos!BG12," - ")</f>
        <v>0.32158730158730159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0.18993135011441648</v>
      </c>
      <c r="C14" s="1152">
        <f>IF(ISNUMBER(
   IF(J_V="SI",(Datos!J14-Datos!T14)/Datos!T14,(Datos!J14+Datos!Z14-(Datos!T14+Datos!AH14))/(Datos!T14+Datos!AH14))
     ),IF(J_V="SI",(Datos!J14-Datos!T14)/Datos!T14,(Datos!J14+Datos!Z14-(Datos!T14+Datos!AH14))/(Datos!T14+Datos!AH14))," - ")</f>
        <v>-7.6476282671829626E-2</v>
      </c>
      <c r="D14" s="1152">
        <f>IF(ISNUMBER(
   IF(J_V="SI",(Datos!K14-Datos!U14)/Datos!U14,(Datos!K14+Datos!AA14-(Datos!U14+Datos!AI14))/(Datos!U14+Datos!AI14))
     ),IF(J_V="SI",(Datos!K14-Datos!U14)/Datos!U14,(Datos!K14+Datos!AA14-(Datos!U14+Datos!AI14))/(Datos!U14+Datos!AI14))," - ")</f>
        <v>-0.17188898836168309</v>
      </c>
      <c r="E14" s="1152">
        <f>IF(ISNUMBER(
   IF(J_V="SI",(Datos!L14-Datos!V14)/Datos!V14,(Datos!L14+Datos!AB14-(Datos!V14+Datos!AJ14))/(Datos!V14+Datos!AJ14))
     ),IF(J_V="SI",(Datos!L14-Datos!V14)/Datos!V14,(Datos!L14+Datos!AB14-(Datos!V14+Datos!AJ14))/(Datos!V14+Datos!AJ14))," - ")</f>
        <v>0.26742788461538464</v>
      </c>
      <c r="F14" s="1153">
        <f>IF(ISNUMBER((Datos!M14-Datos!W14)/Datos!W14),(Datos!M14-Datos!W14)/Datos!W14," - ")</f>
        <v>-6.6666666666666666E-2</v>
      </c>
      <c r="G14" s="1154">
        <f>IF(ISNUMBER((Datos!N14-Datos!X14)/Datos!X14),(Datos!N14-Datos!X14)/Datos!X14," - ")</f>
        <v>-0.23255813953488372</v>
      </c>
      <c r="H14" s="1154">
        <f>IF(ISNUMBER(((NºAsuntos!G14/NºAsuntos!E14)-Datos!BD14)/Datos!BD14),((NºAsuntos!G14/NºAsuntos!E14)-Datos!BD14)/Datos!BD14," - ")</f>
        <v>-0.10331375783817462</v>
      </c>
      <c r="I14" s="1154">
        <f>IF(ISNUMBER(((NºAsuntos!I14/NºAsuntos!G14)-Datos!BE14)/Datos!BE14),((NºAsuntos!I14/NºAsuntos!G14)-Datos!BE14)/Datos!BE14," - ")</f>
        <v>0.53050480769230757</v>
      </c>
      <c r="J14" s="1154">
        <f>IF(ISNUMBER((('Resol  Asuntos'!D14/NºAsuntos!G14)-Datos!BF14)/Datos!BF14),(('Resol  Asuntos'!D14/NºAsuntos!G14)-Datos!BF14)/Datos!BF14," - ")</f>
        <v>-0.11021337126600278</v>
      </c>
      <c r="K14" s="1154">
        <f>IF(ISNUMBER((((NºAsuntos!C14+NºAsuntos!E14)/NºAsuntos!G14)-Datos!BG14)/Datos!BG14),(((NºAsuntos!C14+NºAsuntos!E14)/NºAsuntos!G14)-Datos!BG14)/Datos!BG14," - ")</f>
        <v>0.31742538655159996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8.2406471183013141E-2</v>
      </c>
      <c r="C17" s="515">
        <f>IF(ISNUMBER(
   IF(D_I="SI",(Datos!J17-Datos!T17)/Datos!T17,(Datos!J17+Datos!AD17-(Datos!T17+Datos!AL17))/(Datos!T17+Datos!AL17))
     ),IF(D_I="SI",(Datos!J17-Datos!T17)/Datos!T17,(Datos!J17+Datos!AD17-(Datos!T17+Datos!AL17))/(Datos!T17+Datos!AL17))," - ")</f>
        <v>0.19450980392156864</v>
      </c>
      <c r="D17" s="515">
        <f>IF(ISNUMBER(
   IF(D_I="SI",(Datos!K17-Datos!U17)/Datos!U17,(Datos!K17+Datos!AE17-(Datos!U17+Datos!AM17))/(Datos!U17+Datos!AM17))
     ),IF(D_I="SI",(Datos!K17-Datos!U17)/Datos!U17,(Datos!K17+Datos!AE17-(Datos!U17+Datos!AM17))/(Datos!U17+Datos!AM17))," - ")</f>
        <v>5.2067381316998472E-2</v>
      </c>
      <c r="E17" s="515">
        <f>IF(ISNUMBER(
   IF(D_I="SI",(Datos!L17-Datos!V17)/Datos!V17,(Datos!L17+Datos!AF17-(Datos!V17+Datos!AN17))/(Datos!V17+Datos!AN17))
     ),IF(D_I="SI",(Datos!L17-Datos!V17)/Datos!V17,(Datos!L17+Datos!AF17-(Datos!V17+Datos!AN17))/(Datos!V17+Datos!AN17))," - ")</f>
        <v>0.19749216300940439</v>
      </c>
      <c r="F17" s="515">
        <f>IF(ISNUMBER((Datos!M17-Datos!W17)/Datos!W17),(Datos!M17-Datos!W17)/Datos!W17," - ")</f>
        <v>-2.1052631578947368E-2</v>
      </c>
      <c r="G17" s="516">
        <f>IF(ISNUMBER((Datos!N17-Datos!X17)/Datos!X17),(Datos!N17-Datos!X17)/Datos!X17," - ")</f>
        <v>0.15448504983388706</v>
      </c>
      <c r="H17" s="514">
        <f>IF(ISNUMBER(((NºAsuntos!G17/NºAsuntos!E17)-Datos!BD17)/Datos!BD17),((NºAsuntos!G17/NºAsuntos!E17)-Datos!BD17)/Datos!BD17," - ")</f>
        <v>-0.11924759607408214</v>
      </c>
      <c r="I17" s="515">
        <f>IF(ISNUMBER(((NºAsuntos!I17/NºAsuntos!G17)-Datos!BE17)/Datos!BE17),((NºAsuntos!I17/NºAsuntos!G17)-Datos!BE17)/Datos!BE17," - ")</f>
        <v>0.13822763092451376</v>
      </c>
      <c r="J17" s="521">
        <f>IF(ISNUMBER((('Resol  Asuntos'!D17/NºAsuntos!G17)-Datos!BF17)/Datos!BF17),(('Resol  Asuntos'!D17/NºAsuntos!G17)-Datos!BF17)/Datos!BF17," - ")</f>
        <v>-6.9501264077223596E-2</v>
      </c>
      <c r="K17" s="522">
        <f>IF(ISNUMBER((((NºAsuntos!C17+NºAsuntos!E17)/NºAsuntos!G17)-Datos!BG17)/Datos!BG17),(((NºAsuntos!C17+NºAsuntos!E17)/NºAsuntos!G17)-Datos!BG17)/Datos!BG17," - ")</f>
        <v>7.0601496054923524E-2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0.14864864864864866</v>
      </c>
      <c r="C18" s="515">
        <f>IF(ISNUMBER(
   IF(D_I="SI",(Datos!J18-Datos!T18)/Datos!T18,(Datos!J18+Datos!AD18-(Datos!T18+Datos!AL18))/(Datos!T18+Datos!AL18))
     ),IF(D_I="SI",(Datos!J18-Datos!T18)/Datos!T18,(Datos!J18+Datos!AD18-(Datos!T18+Datos!AL18))/(Datos!T18+Datos!AL18))," - ")</f>
        <v>0.2413793103448276</v>
      </c>
      <c r="D18" s="515">
        <f>IF(ISNUMBER(
   IF(D_I="SI",(Datos!K18-Datos!U18)/Datos!U18,(Datos!K18+Datos!AE18-(Datos!U18+Datos!AM18))/(Datos!U18+Datos!AM18))
     ),IF(D_I="SI",(Datos!K18-Datos!U18)/Datos!U18,(Datos!K18+Datos!AE18-(Datos!U18+Datos!AM18))/(Datos!U18+Datos!AM18))," - ")</f>
        <v>0.2818181818181818</v>
      </c>
      <c r="E18" s="515">
        <f>IF(ISNUMBER(
   IF(D_I="SI",(Datos!L18-Datos!V18)/Datos!V18,(Datos!L18+Datos!AF18-(Datos!V18+Datos!AN18))/(Datos!V18+Datos!AN18))
     ),IF(D_I="SI",(Datos!L18-Datos!V18)/Datos!V18,(Datos!L18+Datos!AF18-(Datos!V18+Datos!AN18))/(Datos!V18+Datos!AN18))," - ")</f>
        <v>0.1</v>
      </c>
      <c r="F18" s="515">
        <f>IF(ISNUMBER((Datos!M18-Datos!W18)/Datos!W18),(Datos!M18-Datos!W18)/Datos!W18," - ")</f>
        <v>1.4444444444444444</v>
      </c>
      <c r="G18" s="516">
        <f>IF(ISNUMBER((Datos!N18-Datos!X18)/Datos!X18),(Datos!N18-Datos!X18)/Datos!X18," - ")</f>
        <v>-0.3125</v>
      </c>
      <c r="H18" s="514">
        <f>IF(ISNUMBER(((NºAsuntos!G18/NºAsuntos!E18)-Datos!BD18)/Datos!BD18),((NºAsuntos!G18/NºAsuntos!E18)-Datos!BD18)/Datos!BD18," - ")</f>
        <v>3.2575757575757529E-2</v>
      </c>
      <c r="I18" s="515">
        <f>IF(ISNUMBER(((NºAsuntos!I18/NºAsuntos!G18)-Datos!BE18)/Datos!BE18),((NºAsuntos!I18/NºAsuntos!G18)-Datos!BE18)/Datos!BE18," - ")</f>
        <v>-0.14184397163120568</v>
      </c>
      <c r="J18" s="521">
        <f>IF(ISNUMBER((('Resol  Asuntos'!D18/NºAsuntos!G18)-Datos!BF18)/Datos!BF18),(('Resol  Asuntos'!D18/NºAsuntos!G18)-Datos!BF18)/Datos!BF18," - ")</f>
        <v>0.90701339637509859</v>
      </c>
      <c r="K18" s="522">
        <f>IF(ISNUMBER((((NºAsuntos!C18+NºAsuntos!E18)/NºAsuntos!G18)-Datos!BG18)/Datos!BG18),(((NºAsuntos!C18+NºAsuntos!E18)/NºAsuntos!G18)-Datos!BG18)/Datos!BG18," - ")</f>
        <v>-5.9723777528928705E-2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f>IF(ISNUMBER((Datos!I20-Datos!S20)/Datos!S20),(Datos!I20-Datos!S20)/Datos!S20," - ")</f>
        <v>-0.30612244897959184</v>
      </c>
      <c r="C20" s="515">
        <f>IF(ISNUMBER((Datos!J20-Datos!T20)/Datos!T20),(Datos!J20-Datos!T20)/Datos!T20," - ")</f>
        <v>0.25</v>
      </c>
      <c r="D20" s="515">
        <f>IF(ISNUMBER((Datos!K20-Datos!U20)/Datos!U20),(Datos!K20-Datos!U20)/Datos!U20," - ")</f>
        <v>0.2073170731707317</v>
      </c>
      <c r="E20" s="515">
        <f>IF(ISNUMBER((Datos!L20-Datos!V20)/Datos!V20),(Datos!L20-Datos!V20)/Datos!V20," - ")</f>
        <v>-0.36363636363636365</v>
      </c>
      <c r="F20" s="515" t="str">
        <f>IF(ISNUMBER((Datos!M20-Datos!W20)/Datos!W20),(Datos!M20-Datos!W20)/Datos!W20," - ")</f>
        <v xml:space="preserve"> - </v>
      </c>
      <c r="G20" s="516">
        <f>IF(ISNUMBER((Datos!N20-Datos!X20)/Datos!X20),(Datos!N20-Datos!X20)/Datos!X20," - ")</f>
        <v>0.2073170731707317</v>
      </c>
      <c r="H20" s="514">
        <f>IF(ISNUMBER(((NºAsuntos!G20/NºAsuntos!E20)-Datos!BD20)/Datos!BD20),((NºAsuntos!G20/NºAsuntos!E20)-Datos!BD20)/Datos!BD20," - ")</f>
        <v>-3.4146341463414685E-2</v>
      </c>
      <c r="I20" s="515">
        <f>IF(ISNUMBER(((NºAsuntos!I20/NºAsuntos!G20)-Datos!BE20)/Datos!BE20),((NºAsuntos!I20/NºAsuntos!G20)-Datos!BE20)/Datos!BE20," - ")</f>
        <v>-0.47291092745638202</v>
      </c>
      <c r="J20" s="521" t="str">
        <f>IF(ISNUMBER((('Resol  Asuntos'!D20/NºAsuntos!G20)-Datos!BF20)/Datos!BF20),(('Resol  Asuntos'!D20/NºAsuntos!G20)-Datos!BF20)/Datos!BF20," - ")</f>
        <v xml:space="preserve"> - </v>
      </c>
      <c r="K20" s="522">
        <f>IF(ISNUMBER((((NºAsuntos!C20+NºAsuntos!E20)/NºAsuntos!G20)-Datos!BG20)/Datos!BG20),(((NºAsuntos!C20+NºAsuntos!E20)/NºAsuntos!G20)-Datos!BG20)/Datos!BG20," - ")</f>
        <v>-7.9218581756652862E-2</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7.5678248453117561E-2</v>
      </c>
      <c r="C23" s="1152">
        <f>IF(ISNUMBER(
   IF(Criterios!B14="SI",(Datos!J23-Datos!T23)/Datos!T23,(Datos!J23+Datos!AD23-(Datos!T23+Datos!AL23))/(Datos!T23+Datos!AL23))
     ),IF(Criterios!B14="SI",(Datos!J23-Datos!T23)/Datos!T23,(Datos!J23+Datos!AD23-(Datos!T23+Datos!AL23))/(Datos!T23+Datos!AL23))," - ")</f>
        <v>0.20337881741390512</v>
      </c>
      <c r="D23" s="1152">
        <f>IF(ISNUMBER(
   IF(Criterios!B14="SI",(Datos!K23-Datos!U23)/Datos!U23,(Datos!K23+Datos!AE23-(Datos!U23+Datos!AM23))/(Datos!U23+Datos!AM23))
     ),IF(Criterios!B14="SI",(Datos!K23-Datos!U23)/Datos!U23,(Datos!K23+Datos!AE23-(Datos!U23+Datos!AM23))/(Datos!U23+Datos!AM23))," - ")</f>
        <v>8.4177215189873422E-2</v>
      </c>
      <c r="E23" s="1152">
        <f>IF(ISNUMBER(
   IF(Criterios!B14="SI",(Datos!L23-Datos!V23)/Datos!V23,(Datos!L23+Datos!AF23-(Datos!V23+Datos!AN23))/(Datos!V23+Datos!AN23))
     ),IF(Criterios!B14="SI",(Datos!L23-Datos!V23)/Datos!V23,(Datos!L23+Datos!AF23-(Datos!V23+Datos!AN23))/(Datos!V23+Datos!AN23))," - ")</f>
        <v>0.18450912678835718</v>
      </c>
      <c r="F23" s="1153">
        <f>IF(ISNUMBER((Datos!M23-Datos!W23)/Datos!W23),(Datos!M23-Datos!W23)/Datos!W23," - ")</f>
        <v>4.5226130653266333E-2</v>
      </c>
      <c r="G23" s="1154">
        <f>IF(ISNUMBER((Datos!N23-Datos!X23)/Datos!X23),(Datos!N23-Datos!X23)/Datos!X23," - ")</f>
        <v>0.12891566265060242</v>
      </c>
      <c r="H23" s="1154">
        <f>IF(ISNUMBER(((NºAsuntos!G23/NºAsuntos!E23)-Datos!BD23)/Datos!BD23),((NºAsuntos!G23/NºAsuntos!E23)-Datos!BD23)/Datos!BD23," - ")</f>
        <v>-9.9055759083577027E-2</v>
      </c>
      <c r="I23" s="1154">
        <f>IF(ISNUMBER(((NºAsuntos!I23/NºAsuntos!G23)-Datos!BE23)/Datos!BE23),((NºAsuntos!I23/NºAsuntos!G23)-Datos!BE23)/Datos!BE23," - ")</f>
        <v>9.2541985012028177E-2</v>
      </c>
      <c r="J23" s="1154">
        <f>IF(ISNUMBER((('Resol  Asuntos'!D23/NºAsuntos!G23)-Datos!BF23)/Datos!BF23),(('Resol  Asuntos'!D23/NºAsuntos!G23)-Datos!BF23)/Datos!BF23," - ")</f>
        <v>-3.5926861393951695E-2</v>
      </c>
      <c r="K23" s="1154">
        <f>IF(ISNUMBER((((NºAsuntos!C23+NºAsuntos!E23)/NºAsuntos!G23)-Datos!BG23)/Datos!BG23),(((NºAsuntos!C23+NºAsuntos!E23)/NºAsuntos!G23)-Datos!BG23)/Datos!BG23," - ")</f>
        <v>4.1960957897910642E-2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0.12756560145492335</v>
      </c>
      <c r="C31" s="1092">
        <f>IF(ISNUMBER(
   IF(J_V="SI",(Datos!J31-Datos!T31)/Datos!T31,(Datos!J31+Datos!Z31-(Datos!T31+Datos!AH31))/(Datos!T31+Datos!AH31))
     ),IF(J_V="SI",(Datos!J31-Datos!T31)/Datos!T31,(Datos!J31+Datos!Z31-(Datos!T31+Datos!AH31))/(Datos!T31+Datos!AH31))," - ")</f>
        <v>9.0979782270606532E-2</v>
      </c>
      <c r="D31" s="1092">
        <f>IF(ISNUMBER(
   IF(J_V="SI",(Datos!K31-Datos!U31)/Datos!U31,(Datos!K31+Datos!AA31-(Datos!U31+Datos!AI31))/(Datos!U31+Datos!AI31))
     ),IF(J_V="SI",(Datos!K31-Datos!U31)/Datos!U31,(Datos!K31+Datos!AA31-(Datos!U31+Datos!AI31))/(Datos!U31+Datos!AI31))," - ")</f>
        <v>-2.1876158694846125E-2</v>
      </c>
      <c r="E31" s="1092">
        <f>IF(ISNUMBER(
   IF(J_V="SI",(Datos!L31-Datos!V31)/Datos!V31,(Datos!L31+Datos!AB31-(Datos!V31+Datos!AJ31))/(Datos!V31+Datos!AJ31))
     ),IF(J_V="SI",(Datos!L31-Datos!V31)/Datos!V31,(Datos!L31+Datos!AB31-(Datos!V31+Datos!AJ31))/(Datos!V31+Datos!AJ31))," - ")</f>
        <v>0.2218910864264427</v>
      </c>
      <c r="F31" s="1093">
        <f>IF(ISNUMBER((Datos!M31-Datos!W31)/Datos!W31),(Datos!M31-Datos!W31)/Datos!W31," - ")</f>
        <v>-1.5945330296127564E-2</v>
      </c>
      <c r="G31" s="1094">
        <f>IF(ISNUMBER((Datos!N31-Datos!X31)/Datos!X31),(Datos!N31-Datos!X31)/Datos!X31," - ")</f>
        <v>3.2714412024756855E-2</v>
      </c>
      <c r="H31" s="1095">
        <f>IF(ISNUMBER((Tasas!B31-Datos!BD31)/Datos!BD31),(Tasas!B31-Datos!BD31)/Datos!BD31," - ")</f>
        <v>-0.10344457596690805</v>
      </c>
      <c r="I31" s="1096">
        <f>IF(ISNUMBER((Tasas!C31-Datos!BE31)/Datos!BE31),(Tasas!C31-Datos!BE31)/Datos!BE31," - ")</f>
        <v>0.24921920397729938</v>
      </c>
      <c r="J31" s="1097">
        <f>IF(ISNUMBER((Tasas!D31-Datos!BF31)/Datos!BF31),(Tasas!D31-Datos!BF31)/Datos!BF31," - ")</f>
        <v>-0.12194460228771431</v>
      </c>
      <c r="K31" s="1097">
        <f>IF(ISNUMBER((Tasas!E31-Datos!BG31)/Datos!BG31),(Tasas!E31-Datos!BG31)/Datos!BG31," - ")</f>
        <v>0.1378014874666724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CB/zBdtNMDzuvYwrLFvAIj/NrAyYUfLHtxgZoY1QmnAlJ8jT7rxp0qTWr8hMPCOFKmBGQkJoCbZoY68xoiiQA==" saltValue="1tbvf6DzH75PaejG3WC6C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MELILLA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0.8928571428571429</v>
      </c>
      <c r="C10" s="498">
        <f>IF(ISNUMBER(NºAsuntos!I10/NºAsuntos!G10),NºAsuntos!I10/NºAsuntos!G10," - ")</f>
        <v>1.68</v>
      </c>
      <c r="D10" s="499">
        <f>IF(ISNUMBER('Resol  Asuntos'!D10/NºAsuntos!G10),'Resol  Asuntos'!D10/NºAsuntos!G10," - ")</f>
        <v>0.48</v>
      </c>
      <c r="E10" s="500">
        <f>IF(ISNUMBER((NºAsuntos!C10+NºAsuntos!E10)/NºAsuntos!G10),(NºAsuntos!C10+NºAsuntos!E10)/NºAsuntos!G10," - ")</f>
        <v>2.68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0.97192224622030232</v>
      </c>
      <c r="C12" s="498">
        <f>IF(ISNUMBER(NºAsuntos!I12/NºAsuntos!G12),NºAsuntos!I12/NºAsuntos!G12," - ")</f>
        <v>2.2966666666666669</v>
      </c>
      <c r="D12" s="499">
        <f>IF(ISNUMBER('Resol  Asuntos'!D12/NºAsuntos!G12),'Resol  Asuntos'!D12/NºAsuntos!G12," - ")</f>
        <v>0.23555555555555555</v>
      </c>
      <c r="E12" s="500">
        <f>IF(ISNUMBER((NºAsuntos!C12+NºAsuntos!E12)/NºAsuntos!G12),(NºAsuntos!C12+NºAsuntos!E12)/NºAsuntos!G12," - ")</f>
        <v>3.2966666666666669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0.96960167714884693</v>
      </c>
      <c r="C14" s="1156">
        <f>IF(ISNUMBER(NºAsuntos!I14/NºAsuntos!G14),NºAsuntos!I14/NºAsuntos!G14," - ")</f>
        <v>2.2799999999999998</v>
      </c>
      <c r="D14" s="1157">
        <f>IF(ISNUMBER('Resol  Asuntos'!D14/NºAsuntos!G14),'Resol  Asuntos'!D14/NºAsuntos!G14," - ")</f>
        <v>0.24216216216216216</v>
      </c>
      <c r="E14" s="1158">
        <f>IF(ISNUMBER((NºAsuntos!C14+NºAsuntos!E14)/NºAsuntos!G14),(NºAsuntos!C14+NºAsuntos!E14)/NºAsuntos!G14," - ")</f>
        <v>3.28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0.902166776099803</v>
      </c>
      <c r="C17" s="498">
        <f>IF(ISNUMBER(NºAsuntos!I17/NºAsuntos!G17),NºAsuntos!I17/NºAsuntos!G17," - ")</f>
        <v>1.668122270742358</v>
      </c>
      <c r="D17" s="499">
        <f>IF(ISNUMBER('Resol  Asuntos'!D17/NºAsuntos!G17),'Resol  Asuntos'!D17/NºAsuntos!G17," - ")</f>
        <v>0.13537117903930132</v>
      </c>
      <c r="E17" s="500">
        <f>IF(ISNUMBER((NºAsuntos!C17+NºAsuntos!E17)/NºAsuntos!G17),(NºAsuntos!C17+NºAsuntos!E17)/NºAsuntos!G17," - ")</f>
        <v>2.6666666666666665</v>
      </c>
      <c r="G17" s="523"/>
    </row>
    <row r="18" spans="1:7">
      <c r="A18" s="450" t="str">
        <f>Datos!A18</f>
        <v>Jdos. Violencia contra la mujer</v>
      </c>
      <c r="B18" s="497">
        <f>IF(ISNUMBER(NºAsuntos!G18/NºAsuntos!E18),NºAsuntos!G18/NºAsuntos!E18," - ")</f>
        <v>0.97916666666666663</v>
      </c>
      <c r="C18" s="498">
        <f>IF(ISNUMBER(NºAsuntos!I18/NºAsuntos!G18),NºAsuntos!I18/NºAsuntos!G18," - ")</f>
        <v>0.62411347517730498</v>
      </c>
      <c r="D18" s="499">
        <f>IF(ISNUMBER('Resol  Asuntos'!D18/NºAsuntos!G18),'Resol  Asuntos'!D18/NºAsuntos!G18," - ")</f>
        <v>0.15602836879432624</v>
      </c>
      <c r="E18" s="500">
        <f>IF(ISNUMBER((NºAsuntos!C18+NºAsuntos!E18)/NºAsuntos!G18),(NºAsuntos!C18+NºAsuntos!E18)/NºAsuntos!G18," - ")</f>
        <v>1.624113475177305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f>IF(ISNUMBER(NºAsuntos!G20/NºAsuntos!E20),NºAsuntos!G20/NºAsuntos!E20," - ")</f>
        <v>1.0702702702702702</v>
      </c>
      <c r="C20" s="498">
        <f>IF(ISNUMBER(NºAsuntos!I20/NºAsuntos!G20),NºAsuntos!I20/NºAsuntos!G20," - ")</f>
        <v>0.10606060606060606</v>
      </c>
      <c r="D20" s="499" t="str">
        <f>IF(ISNUMBER('Resol  Asuntos'!D20/NºAsuntos!G20),'Resol  Asuntos'!D20/NºAsuntos!G20," - ")</f>
        <v xml:space="preserve"> - </v>
      </c>
      <c r="E20" s="500">
        <f>IF(ISNUMBER((NºAsuntos!C20+NºAsuntos!E20)/NºAsuntos!G20),(NºAsuntos!C20+NºAsuntos!E20)/NºAsuntos!G20," - ")</f>
        <v>1.106060606060606</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0.92494600431965446</v>
      </c>
      <c r="C23" s="1156">
        <f>IF(ISNUMBER(NºAsuntos!I23/NºAsuntos!G23),NºAsuntos!I23/NºAsuntos!G23," - ")</f>
        <v>1.4016345592527728</v>
      </c>
      <c r="D23" s="1159">
        <f>IF(ISNUMBER('Resol  Asuntos'!D23/NºAsuntos!G23),'Resol  Asuntos'!D23/NºAsuntos!G23," - ")</f>
        <v>0.12142440163455925</v>
      </c>
      <c r="E23" s="1158">
        <f>IF(ISNUMBER((NºAsuntos!C23+NºAsuntos!E23)/NºAsuntos!G23),(NºAsuntos!C23+NºAsuntos!E23)/NºAsuntos!G23," - ")</f>
        <v>2.4004670169293636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0.94012829650748397</v>
      </c>
      <c r="C31" s="1099">
        <f>IF(ISNUMBER(NºAsuntos!I31/NºAsuntos!G31),NºAsuntos!I31/NºAsuntos!G31," - ")</f>
        <v>1.709628506444276</v>
      </c>
      <c r="D31" s="1100">
        <f>IF(ISNUMBER('Resol  Asuntos'!D31/NºAsuntos!G31),'Resol  Asuntos'!D31/NºAsuntos!G31," - ")</f>
        <v>0.16376042456406367</v>
      </c>
      <c r="E31" s="1101">
        <f>IF(ISNUMBER((NºAsuntos!C31+NºAsuntos!E31)/NºAsuntos!G31),(NºAsuntos!C31+NºAsuntos!E31)/NºAsuntos!G31," - ")</f>
        <v>2.7088703563305536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CJE7vMIUXYRK0PHCMC+ykjDQqPdm1c+RYYcc3XVtFJX/8zSh3MYH2UUWS5zMH6vq7MGd3jtweglRD+sQdlIYg==" saltValue="OvOoutOYjYt8/8DxfRQa7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MELILLA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39</v>
      </c>
      <c r="G10" s="373">
        <f>IF(ISNUMBER(Datos!I10),Datos!I10," - ")</f>
        <v>39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25</v>
      </c>
      <c r="X10" s="240">
        <f>IF(ISNUMBER(Datos!Q10),Datos!Q10," - ")</f>
        <v>0</v>
      </c>
      <c r="Y10" s="374">
        <f t="shared" ref="Y10:Y13" si="0">SUM(W10:X10)</f>
        <v>25</v>
      </c>
      <c r="Z10" s="375" t="str">
        <f>IF(ISNUMBER(Datos!CC10),Datos!CC10," - ")</f>
        <v xml:space="preserve"> - </v>
      </c>
      <c r="AA10" s="372">
        <f>IF(ISNUMBER(Datos!L10),Datos!L10,"-")</f>
        <v>42</v>
      </c>
      <c r="AB10" s="374">
        <f>IF(ISNUMBER(Datos!R10),Datos!R10," - ")</f>
        <v>0</v>
      </c>
      <c r="AC10" s="374">
        <f t="shared" ref="AC10:AC13" si="1">IF(ISNUMBER(AA10+AB10),AA10+AB10," - ")</f>
        <v>42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0.8928571428571429</v>
      </c>
      <c r="AM10" s="284">
        <f>IF(ISNUMBER(((NºAsuntos!I10/NºAsuntos!G10)*11)/factor_trimestre),((NºAsuntos!I10/NºAsuntos!G10)*11)/factor_trimestre," - ")</f>
        <v>5.04</v>
      </c>
      <c r="AN10" s="267">
        <f>IF(ISNUMBER('Resol  Asuntos'!D10/NºAsuntos!G10),'Resol  Asuntos'!D10/NºAsuntos!G10," - ")</f>
        <v>0.48</v>
      </c>
      <c r="AO10" s="268">
        <f>IF(ISNUMBER((NºAsuntos!C10+NºAsuntos!E10)/NºAsuntos!G10),(NºAsuntos!C10+NºAsuntos!E10)/NºAsuntos!G10," - ")</f>
        <v>2.68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489</v>
      </c>
      <c r="Y12" s="374">
        <f t="shared" si="0"/>
        <v>489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3109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212</v>
      </c>
      <c r="AJ12" s="243" t="str">
        <f>IF(ISNUMBER(Datos!BW12),Datos!BW12," - ")</f>
        <v xml:space="preserve"> - </v>
      </c>
      <c r="AK12" s="242" t="str">
        <f>IF(ISNUMBER(Datos!BX12),Datos!BX12," - ")</f>
        <v xml:space="preserve"> - </v>
      </c>
      <c r="AL12" s="266">
        <f>IF(ISNUMBER(NºAsuntos!G12/NºAsuntos!E12),NºAsuntos!G12/NºAsuntos!E12," - ")</f>
        <v>0.97192224622030232</v>
      </c>
      <c r="AM12" s="284">
        <f>IF(ISNUMBER(((NºAsuntos!I12/NºAsuntos!G12)*11)/factor_trimestre),((NºAsuntos!I12/NºAsuntos!G12)*11)/factor_trimestre," - ")</f>
        <v>6.8900000000000006</v>
      </c>
      <c r="AN12" s="267">
        <f>IF(ISNUMBER('Resol  Asuntos'!D12/NºAsuntos!G12),'Resol  Asuntos'!D12/NºAsuntos!G12," - ")</f>
        <v>0.23555555555555555</v>
      </c>
      <c r="AO12" s="268">
        <f>IF(ISNUMBER((NºAsuntos!C12+NºAsuntos!E12)/NºAsuntos!G12),(NºAsuntos!C12+NºAsuntos!E12)/NºAsuntos!G12," - ")</f>
        <v>3.2966666666666669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39</v>
      </c>
      <c r="G14" s="1163">
        <f t="shared" si="5"/>
        <v>39</v>
      </c>
      <c r="H14" s="1162">
        <f t="shared" si="5"/>
        <v>0</v>
      </c>
      <c r="I14" s="1164">
        <f t="shared" si="5"/>
        <v>0</v>
      </c>
      <c r="J14" s="1164">
        <f t="shared" si="5"/>
        <v>0</v>
      </c>
      <c r="K14" s="1164">
        <f t="shared" si="5"/>
        <v>0</v>
      </c>
      <c r="L14" s="1164">
        <f t="shared" si="5"/>
        <v>330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25</v>
      </c>
      <c r="X14" s="1164">
        <f t="shared" si="6"/>
        <v>489</v>
      </c>
      <c r="Y14" s="1165">
        <f t="shared" si="6"/>
        <v>514</v>
      </c>
      <c r="Z14" s="1165">
        <f t="shared" si="6"/>
        <v>0</v>
      </c>
      <c r="AA14" s="1165">
        <f t="shared" si="6"/>
        <v>42</v>
      </c>
      <c r="AB14" s="1165">
        <f t="shared" si="6"/>
        <v>3109</v>
      </c>
      <c r="AC14" s="1165">
        <f t="shared" si="6"/>
        <v>42</v>
      </c>
      <c r="AD14" s="1165">
        <f t="shared" si="6"/>
        <v>0</v>
      </c>
      <c r="AE14" s="1169">
        <f t="shared" si="6"/>
        <v>0</v>
      </c>
      <c r="AF14" s="1162">
        <f t="shared" si="6"/>
        <v>0</v>
      </c>
      <c r="AG14" s="1170">
        <f t="shared" si="6"/>
        <v>0</v>
      </c>
      <c r="AH14" s="1167">
        <f t="shared" si="6"/>
        <v>0</v>
      </c>
      <c r="AI14" s="1162">
        <f t="shared" si="6"/>
        <v>224</v>
      </c>
      <c r="AJ14" s="1164">
        <f t="shared" si="6"/>
        <v>0</v>
      </c>
      <c r="AK14" s="1167">
        <f>SUBTOTAL(9,AK9:AK13)</f>
        <v>0</v>
      </c>
      <c r="AL14" s="1171">
        <f>IF(ISNUMBER(NºAsuntos!G14/NºAsuntos!E14),NºAsuntos!G14/NºAsuntos!E14," - ")</f>
        <v>0.96960167714884693</v>
      </c>
      <c r="AM14" s="1171">
        <f>IF(ISNUMBER(((NºAsuntos!I14/NºAsuntos!G14)*11)/factor_trimestre),((NºAsuntos!I14/NºAsuntos!G14)*11)/factor_trimestre," - ")</f>
        <v>6.84</v>
      </c>
      <c r="AN14" s="1172">
        <f>IF(ISNUMBER('Resol  Asuntos'!D14/NºAsuntos!G14),'Resol  Asuntos'!D14/NºAsuntos!G14," - ")</f>
        <v>0.24216216216216216</v>
      </c>
      <c r="AO14" s="1173">
        <f>IF(ISNUMBER((NºAsuntos!C14+NºAsuntos!E14)/NºAsuntos!G14),(NºAsuntos!C14+NºAsuntos!E14)/NºAsuntos!G14," - ")</f>
        <v>3.28</v>
      </c>
      <c r="AP14" s="1174" t="str">
        <f t="shared" si="2"/>
        <v xml:space="preserve"> - </v>
      </c>
      <c r="AQ14" s="1174">
        <f>IF(ISNUMBER((H14-W14+K14)/(F14)),(H14-W14+K14)/(F14)," - ")</f>
        <v>-0.64102564102564108</v>
      </c>
      <c r="AR14" s="1175">
        <f>IF(ISNUMBER((Datos!P14-Datos!Q14)/(Datos!R14-Datos!P14+Datos!Q14)),(Datos!P14-Datos!Q14)/(Datos!R14-Datos!P14+Datos!Q14)," - ")</f>
        <v>-4.8653610771113832E-2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2143</v>
      </c>
      <c r="G17" s="373">
        <f>IF(ISNUMBER(IF(D_I="SI",Datos!I17,Datos!I17+Datos!AC17)),IF(D_I="SI",Datos!I17,Datos!I17+Datos!AC17)," - ")</f>
        <v>2141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1374</v>
      </c>
      <c r="X17" s="240">
        <f>IF(ISNUMBER(Datos!Q17),Datos!Q17," - ")</f>
        <v>62</v>
      </c>
      <c r="Y17" s="374">
        <f t="shared" ref="Y17:Y22" si="9">SUM(W17:X17)</f>
        <v>1436</v>
      </c>
      <c r="Z17" s="375" t="str">
        <f>IF(ISNUMBER(Datos!CC17),Datos!CC17," - ")</f>
        <v xml:space="preserve"> - </v>
      </c>
      <c r="AA17" s="372">
        <f>IF(ISNUMBER(IF(D_I="SI",Datos!L17,Datos!L17+Datos!AF17)),IF(D_I="SI",Datos!L17,Datos!L17+Datos!AF17)," - ")</f>
        <v>2292</v>
      </c>
      <c r="AB17" s="374">
        <f>IF(ISNUMBER(Datos!R17),Datos!R17," - ")</f>
        <v>210</v>
      </c>
      <c r="AC17" s="374">
        <f t="shared" si="8"/>
        <v>2502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186</v>
      </c>
      <c r="AJ17" s="245" t="str">
        <f>IF(ISNUMBER(Datos!BW17),Datos!BW17," - ")</f>
        <v xml:space="preserve"> - </v>
      </c>
      <c r="AK17" s="246" t="str">
        <f>IF(ISNUMBER(Datos!BX17),Datos!BX17," - ")</f>
        <v xml:space="preserve"> - </v>
      </c>
      <c r="AL17" s="266">
        <f>IF(ISNUMBER(NºAsuntos!G17/NºAsuntos!E17),NºAsuntos!G17/NºAsuntos!E17," - ")</f>
        <v>0.902166776099803</v>
      </c>
      <c r="AM17" s="284">
        <f>IF(ISNUMBER(((NºAsuntos!I17/NºAsuntos!G17)*11)/factor_trimestre),((NºAsuntos!I17/NºAsuntos!G17)*11)/factor_trimestre," - ")</f>
        <v>5.0043668122270741</v>
      </c>
      <c r="AN17" s="267">
        <f>IF(ISNUMBER('Resol  Asuntos'!D17/NºAsuntos!G17),'Resol  Asuntos'!D17/NºAsuntos!G17," - ")</f>
        <v>0.13537117903930132</v>
      </c>
      <c r="AO17" s="268">
        <f>IF(ISNUMBER((NºAsuntos!C17+NºAsuntos!E17)/NºAsuntos!G17),(NºAsuntos!C17+NºAsuntos!E17)/NºAsuntos!G17," - ")</f>
        <v>2.6666666666666665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141</v>
      </c>
      <c r="X18" s="240">
        <f>IF(ISNUMBER(Datos!Q18),Datos!Q18," - ")</f>
        <v>0</v>
      </c>
      <c r="Y18" s="374">
        <f t="shared" si="9"/>
        <v>141</v>
      </c>
      <c r="Z18" s="375" t="str">
        <f>IF(ISNUMBER(Datos!CC18),Datos!CC18," - ")</f>
        <v xml:space="preserve"> - </v>
      </c>
      <c r="AA18" s="372">
        <f>IF(ISNUMBER(Datos!L18),Datos!L18,"-")</f>
        <v>88</v>
      </c>
      <c r="AB18" s="374">
        <f>IF(ISNUMBER(Datos!R18),Datos!R18," - ")</f>
        <v>0</v>
      </c>
      <c r="AC18" s="374">
        <f t="shared" si="8"/>
        <v>88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22</v>
      </c>
      <c r="AJ18" s="245" t="str">
        <f>IF(ISNUMBER(Datos!BW18),Datos!BW18," - ")</f>
        <v xml:space="preserve"> - </v>
      </c>
      <c r="AK18" s="246" t="str">
        <f>IF(ISNUMBER(Datos!BX18),Datos!BX18," - ")</f>
        <v xml:space="preserve"> - </v>
      </c>
      <c r="AL18" s="266">
        <f>IF(ISNUMBER(NºAsuntos!G18/NºAsuntos!E18),NºAsuntos!G18/NºAsuntos!E18," - ")</f>
        <v>0.97916666666666663</v>
      </c>
      <c r="AM18" s="284">
        <f>IF(ISNUMBER(((NºAsuntos!I18/NºAsuntos!G18)*11)/factor_trimestre),((NºAsuntos!I18/NºAsuntos!G18)*11)/factor_trimestre," - ")</f>
        <v>1.8723404255319149</v>
      </c>
      <c r="AN18" s="267">
        <f>IF(ISNUMBER('Resol  Asuntos'!D18/NºAsuntos!G18),'Resol  Asuntos'!D18/NºAsuntos!G18," - ")</f>
        <v>0.15602836879432624</v>
      </c>
      <c r="AO18" s="268">
        <f>IF(ISNUMBER((NºAsuntos!C18+NºAsuntos!E18)/NºAsuntos!G18),(NºAsuntos!C18+NºAsuntos!E18)/NºAsuntos!G18," - ")</f>
        <v>1.624113475177305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f>IF(ISNUMBER(Datos!L20+Datos!K20-Datos!J20-K20),Datos!L20+Datos!K20-Datos!J20-K20," - ")</f>
        <v>34</v>
      </c>
      <c r="G20" s="543">
        <f>IF(ISNUMBER(Datos!I20),Datos!I20," - ")</f>
        <v>34</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f>IF(ISNUMBER(Datos!K20),Datos!K20," - ")</f>
        <v>198</v>
      </c>
      <c r="X20" s="547" t="str">
        <f>IF(ISNUMBER(Datos!Q20),Datos!Q20," - ")</f>
        <v xml:space="preserve"> - </v>
      </c>
      <c r="Y20" s="549">
        <f t="shared" si="9"/>
        <v>198</v>
      </c>
      <c r="Z20" s="766" t="str">
        <f>IF(ISNUMBER(Datos!CC20),Datos!CC20," - ")</f>
        <v xml:space="preserve"> - </v>
      </c>
      <c r="AA20" s="551">
        <f>IF(ISNUMBER(Datos!L20),Datos!L20,"-")</f>
        <v>21</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f>IF(ISNUMBER(Datos!N20),Datos!N20," - ")</f>
        <v>198</v>
      </c>
      <c r="AJ20" s="794" t="str">
        <f>IF(ISNUMBER(Datos!BW20),Datos!BW20," - ")</f>
        <v xml:space="preserve"> - </v>
      </c>
      <c r="AK20" s="795" t="str">
        <f>IF(ISNUMBER(Datos!BX20),Datos!BX20," - ")</f>
        <v xml:space="preserve"> - </v>
      </c>
      <c r="AL20" s="763">
        <f>IF(ISNUMBER(NºAsuntos!G20/NºAsuntos!E20),NºAsuntos!G20/NºAsuntos!E20," - ")</f>
        <v>1.0702702702702702</v>
      </c>
      <c r="AM20" s="764">
        <f>IF(ISNUMBER(((NºAsuntos!I20/NºAsuntos!G20)*11)/factor_trimestre),((NºAsuntos!I20/NºAsuntos!G20)*11)/factor_trimestre," - ")</f>
        <v>0.31818181818181823</v>
      </c>
      <c r="AN20" s="796" t="str">
        <f>IF(ISNUMBER('Resol  Asuntos'!D20/NºAsuntos!G20),'Resol  Asuntos'!D20/NºAsuntos!G20," - ")</f>
        <v xml:space="preserve"> - </v>
      </c>
      <c r="AO20" s="797">
        <f>IF(ISNUMBER((NºAsuntos!C20+NºAsuntos!E20)/NºAsuntos!G20),(NºAsuntos!C20+NºAsuntos!E20)/NºAsuntos!G20," - ")</f>
        <v>1.106060606060606</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2177</v>
      </c>
      <c r="G23" s="1163">
        <f>SUBTOTAL(9,G16:G22)</f>
        <v>2260</v>
      </c>
      <c r="H23" s="1162">
        <f t="shared" ref="H23:O23" si="13">SUBTOTAL(9,H15:H22)</f>
        <v>0</v>
      </c>
      <c r="I23" s="1164">
        <f t="shared" si="13"/>
        <v>0</v>
      </c>
      <c r="J23" s="1164">
        <f t="shared" si="13"/>
        <v>0</v>
      </c>
      <c r="K23" s="1164">
        <f t="shared" si="13"/>
        <v>0</v>
      </c>
      <c r="L23" s="1164">
        <f t="shared" si="13"/>
        <v>54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1713</v>
      </c>
      <c r="X23" s="1164">
        <f t="shared" si="14"/>
        <v>62</v>
      </c>
      <c r="Y23" s="1165">
        <f t="shared" si="14"/>
        <v>1775</v>
      </c>
      <c r="Z23" s="1165">
        <f t="shared" si="14"/>
        <v>0</v>
      </c>
      <c r="AA23" s="1165">
        <f t="shared" si="14"/>
        <v>2401</v>
      </c>
      <c r="AB23" s="1165">
        <f t="shared" si="14"/>
        <v>210</v>
      </c>
      <c r="AC23" s="1165">
        <f t="shared" si="14"/>
        <v>2590</v>
      </c>
      <c r="AD23" s="1165">
        <f t="shared" si="14"/>
        <v>0</v>
      </c>
      <c r="AE23" s="1169">
        <f t="shared" si="14"/>
        <v>0</v>
      </c>
      <c r="AF23" s="1162">
        <f t="shared" si="14"/>
        <v>0</v>
      </c>
      <c r="AG23" s="1170">
        <f t="shared" si="14"/>
        <v>0</v>
      </c>
      <c r="AH23" s="1167">
        <f t="shared" si="14"/>
        <v>0</v>
      </c>
      <c r="AI23" s="1162">
        <f t="shared" si="14"/>
        <v>406</v>
      </c>
      <c r="AJ23" s="1164">
        <f t="shared" si="14"/>
        <v>0</v>
      </c>
      <c r="AK23" s="1167">
        <f t="shared" si="14"/>
        <v>0</v>
      </c>
      <c r="AL23" s="1171">
        <f>IF(ISNUMBER(NºAsuntos!G23/NºAsuntos!E23),NºAsuntos!G23/NºAsuntos!E23," - ")</f>
        <v>0.92494600431965446</v>
      </c>
      <c r="AM23" s="1171">
        <f>IF(ISNUMBER(((NºAsuntos!I23/NºAsuntos!G23)*11)/factor_trimestre),((NºAsuntos!I23/NºAsuntos!G23)*11)/factor_trimestre," - ")</f>
        <v>4.2049036777583186</v>
      </c>
      <c r="AN23" s="1172">
        <f>IF(ISNUMBER('Resol  Asuntos'!D23/NºAsuntos!G23),'Resol  Asuntos'!D23/NºAsuntos!G23," - ")</f>
        <v>0.12142440163455925</v>
      </c>
      <c r="AO23" s="1173">
        <f>IF(ISNUMBER((NºAsuntos!C23+NºAsuntos!E23)/NºAsuntos!G23),(NºAsuntos!C23+NºAsuntos!E23)/NºAsuntos!G23," - ")</f>
        <v>2.4004670169293636</v>
      </c>
      <c r="AP23" s="1174" t="str">
        <f t="shared" si="2"/>
        <v xml:space="preserve"> - </v>
      </c>
      <c r="AQ23" s="1174">
        <f>IF(ISNUMBER((H23-W23+K23)/(F23)),(H23-W23+K23)/(F23)," - ")</f>
        <v>-0.78686265502985764</v>
      </c>
      <c r="AR23" s="1175">
        <f>IF(ISNUMBER((Datos!P23-Datos!Q23)/(Datos!R23-Datos!P23+Datos!Q23)),(Datos!P23-Datos!Q23)/(Datos!R23-Datos!P23+Datos!Q23)," - ")</f>
        <v>-3.669724770642202E-2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2216</v>
      </c>
      <c r="G31" s="1118">
        <f t="shared" si="20"/>
        <v>2299</v>
      </c>
      <c r="H31" s="1117">
        <f t="shared" si="20"/>
        <v>0</v>
      </c>
      <c r="I31" s="1119">
        <f t="shared" si="20"/>
        <v>0</v>
      </c>
      <c r="J31" s="1119">
        <f t="shared" si="20"/>
        <v>0</v>
      </c>
      <c r="K31" s="1180">
        <f t="shared" si="20"/>
        <v>0</v>
      </c>
      <c r="L31" s="1119">
        <f t="shared" si="20"/>
        <v>384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1738</v>
      </c>
      <c r="X31" s="1118">
        <f t="shared" si="21"/>
        <v>551</v>
      </c>
      <c r="Y31" s="1125">
        <f t="shared" si="21"/>
        <v>2289</v>
      </c>
      <c r="Z31" s="1125">
        <f t="shared" si="21"/>
        <v>0</v>
      </c>
      <c r="AA31" s="1125">
        <f t="shared" si="21"/>
        <v>2443</v>
      </c>
      <c r="AB31" s="1125">
        <f t="shared" si="21"/>
        <v>3319</v>
      </c>
      <c r="AC31" s="1125">
        <f t="shared" si="21"/>
        <v>2632</v>
      </c>
      <c r="AD31" s="1125">
        <f t="shared" si="21"/>
        <v>0</v>
      </c>
      <c r="AE31" s="1127">
        <f t="shared" si="21"/>
        <v>0</v>
      </c>
      <c r="AF31" s="1128">
        <f t="shared" si="21"/>
        <v>0</v>
      </c>
      <c r="AG31" s="1129">
        <f t="shared" si="21"/>
        <v>0</v>
      </c>
      <c r="AH31" s="1127">
        <f t="shared" si="21"/>
        <v>0</v>
      </c>
      <c r="AI31" s="1117">
        <f t="shared" si="21"/>
        <v>630</v>
      </c>
      <c r="AJ31" s="1117">
        <f t="shared" si="21"/>
        <v>0</v>
      </c>
      <c r="AK31" s="1127">
        <f t="shared" si="21"/>
        <v>0</v>
      </c>
      <c r="AL31" s="1183">
        <f>IF(ISNUMBER(NºAsuntos!G31/NºAsuntos!E31),NºAsuntos!G31/NºAsuntos!E31," - ")</f>
        <v>0.94012829650748397</v>
      </c>
      <c r="AM31" s="1184">
        <f>IF(ISNUMBER(((NºAsuntos!I31/NºAsuntos!G31)*11)/factor_trimestre),((NºAsuntos!I31/NºAsuntos!G31)*11)/factor_trimestre," - ")</f>
        <v>5.1288855193328278</v>
      </c>
      <c r="AN31" s="1184">
        <f>IF(ISNUMBER('Resol  Asuntos'!D31/NºAsuntos!G31),'Resol  Asuntos'!D31/NºAsuntos!G31," - ")</f>
        <v>0.16376042456406367</v>
      </c>
      <c r="AO31" s="1185">
        <f>IF(ISNUMBER((NºAsuntos!C31+NºAsuntos!E31)/NºAsuntos!G31),(NºAsuntos!C31+NºAsuntos!E31)/NºAsuntos!G31," - ")</f>
        <v>2.7088703563305536</v>
      </c>
      <c r="AP31" s="1186" t="str">
        <f t="shared" si="2"/>
        <v xml:space="preserve"> - </v>
      </c>
      <c r="AQ31" s="1187">
        <f>IF(OR(ISNUMBER(FIND("01",Criterios!A8,1)),ISNUMBER(FIND("02",Criterios!A8,1)),ISNUMBER(FIND("03",Criterios!A8,1)),ISNUMBER(FIND("04",Criterios!A8,1))),(I31-W31+K31)/(F31-K31),(H31-W31+K31)/(F31-K31))</f>
        <v>-0.78429602888086647</v>
      </c>
      <c r="AR31" s="1188">
        <f>IF(ISNUMBER((Datos!P31-Datos!Q31)/(Datos!R31-Datos!P31+Datos!Q31)),(Datos!P31-Datos!Q31)/(Datos!R31-Datos!P31+Datos!Q31)," - ")</f>
        <v>-4.7905909351692484E-2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574.75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1043.2231190835814</v>
      </c>
      <c r="G33" s="277">
        <f>IF(ISNUMBER(STDEV(G8:G30)),STDEV(G8:G30),"-")</f>
        <v>1004.2910434729566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694.08295099155316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140.52757736472938</v>
      </c>
      <c r="AJ33" s="276">
        <f t="shared" si="25"/>
        <v>0</v>
      </c>
      <c r="AK33" s="278">
        <f t="shared" si="25"/>
        <v>0</v>
      </c>
      <c r="AL33" s="273">
        <f t="shared" si="25"/>
        <v>6.0320122876050916E-2</v>
      </c>
      <c r="AM33" s="274">
        <f t="shared" si="25"/>
        <v>2.4481349056790229</v>
      </c>
      <c r="AN33" s="274">
        <f t="shared" si="25"/>
        <v>0.13332587814532201</v>
      </c>
      <c r="AO33" s="275">
        <f t="shared" si="25"/>
        <v>0.81598476077858306</v>
      </c>
      <c r="AP33" s="317" t="str">
        <f t="shared" si="25"/>
        <v>-</v>
      </c>
      <c r="AQ33" s="318">
        <f t="shared" si="25"/>
        <v>0.10312234155038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13n+8sTaRwmLEKx0qfH7A3DZ8Rp34pUnkVox0kJK57iWPtc6MSOMiUlsZqx0QezeOdcGEwKHHC46l4eX/ro/5A==" saltValue="UXMyzXmofU4DQh44jXAE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MELILLA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-0.1702127659574468</v>
      </c>
      <c r="E10" s="393">
        <f>IF(ISNUMBER((Datos!J10-Datos!T10)/Datos!T10),(Datos!J10-Datos!T10)/Datos!T10," - ")</f>
        <v>0.12</v>
      </c>
      <c r="F10" s="393">
        <f>IF(ISNUMBER((Datos!K10-Datos!U10)/Datos!U10),(Datos!K10-Datos!U10)/Datos!U10," - ")</f>
        <v>-0.19354838709677419</v>
      </c>
      <c r="G10" s="394">
        <f>IF(ISNUMBER((Datos!L10-Datos!V10)/Datos!V10),(Datos!L10-Datos!V10)/Datos!V10," - ")</f>
        <v>2.4390243902439025E-2</v>
      </c>
      <c r="H10" s="244">
        <f>IF(ISNUMBER((Datos!M10-Datos!W10)/Datos!W10),(Datos!M10-Datos!W10)/Datos!W10," - ")</f>
        <v>0.2</v>
      </c>
      <c r="I10" s="395">
        <f>IF(ISNUMBER((Tasas!C10-Datos!BE10)/Datos!BE10),(Tasas!C10-Datos!BE10)/Datos!BE10," - ")</f>
        <v>0.27024390243902441</v>
      </c>
      <c r="J10" s="394">
        <f>IF(ISNUMBER((Tasas!D10-Datos!BF10)/Datos!BF10),(Tasas!D10-Datos!BF10)/Datos!BF10," - ")</f>
        <v>0.48799999999999999</v>
      </c>
      <c r="K10" s="396">
        <f>IF(ISNUMBER((Tasas!E10-Datos!BG10)/Datos!BG10),(Tasas!E10-Datos!BG10)/Datos!BG10," - ")</f>
        <v>0.15388888888888888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-7.8260869565217397E-2</v>
      </c>
      <c r="I12" s="395">
        <f>IF(ISNUMBER((Tasas!C12-Datos!BE12)/Datos!BE12),(Tasas!C12-Datos!BE12)/Datos!BE12," - ")</f>
        <v>0.5367714109673446</v>
      </c>
      <c r="J12" s="394">
        <f>IF(ISNUMBER((Tasas!D12-Datos!BF12)/Datos!BF12),(Tasas!D12-Datos!BF12)/Datos!BF12," - ")</f>
        <v>-0.12988662131519269</v>
      </c>
      <c r="K12" s="396">
        <f>IF(ISNUMBER((Tasas!E12-Datos!BG12)/Datos!BG12),(Tasas!E12-Datos!BG12)/Datos!BG12," - ")</f>
        <v>0.32158730158730159</v>
      </c>
      <c r="M12" t="e">
        <f>IF(Monitorios="SI",Datos!CE12,0)</f>
        <v>#REF!</v>
      </c>
      <c r="N12" t="e">
        <f>IF(Monitorios="SI",Datos!CF12,0)</f>
        <v>#REF!</v>
      </c>
      <c r="O12" t="e">
        <f>IF(Monitorios="SI",Datos!CG12,0)</f>
        <v>#REF!</v>
      </c>
      <c r="P12" t="e">
        <f>IF(Monitorios="SI",Datos!CH12,0)</f>
        <v>#REF!</v>
      </c>
      <c r="Q12">
        <f>IF(J_V="SI",0,Datos!AG12)</f>
        <v>138</v>
      </c>
      <c r="R12">
        <f>IF(J_V="SI",0,Datos!AH12)</f>
        <v>53</v>
      </c>
      <c r="S12">
        <f>IF(J_V="SI",0,Datos!AI12)</f>
        <v>78</v>
      </c>
      <c r="T12">
        <f>IF(J_V="SI",0,Datos!AJ12)</f>
        <v>113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-6.6666666666666666E-2</v>
      </c>
      <c r="I14" s="402">
        <f>IF(ISNUMBER((Tasas!C14-Datos!BE14)/Datos!BE14),(Tasas!C14-Datos!BE14)/Datos!BE14," - ")</f>
        <v>0.53050480769230757</v>
      </c>
      <c r="J14" s="400">
        <f>IF(ISNUMBER((Tasas!D14-Datos!BF14)/Datos!BF14),(Tasas!D14-Datos!BF14)/Datos!BF14," - ")</f>
        <v>-0.11021337126600278</v>
      </c>
      <c r="K14" s="403">
        <f>IF(ISNUMBER((Tasas!E14-Datos!BG14)/Datos!BG14),(Tasas!E14-Datos!BG14)/Datos!BG14," - ")</f>
        <v>0.31742538655159996</v>
      </c>
      <c r="M14" t="e">
        <f>IF(Monitorios="SI",Datos!CE14,0)</f>
        <v>#REF!</v>
      </c>
      <c r="N14" t="e">
        <f>IF(Monitorios="SI",Datos!CF14,0)</f>
        <v>#REF!</v>
      </c>
      <c r="O14" t="e">
        <f>IF(Monitorios="SI",Datos!CG14,0)</f>
        <v>#REF!</v>
      </c>
      <c r="P14" t="e">
        <f>IF(Monitorios="SI",Datos!CH14,0)</f>
        <v>#REF!</v>
      </c>
      <c r="Q14">
        <f>IF(J_V="SI",0,Datos!AG14)</f>
        <v>138</v>
      </c>
      <c r="R14">
        <f>IF(J_V="SI",0,Datos!AH14)</f>
        <v>53</v>
      </c>
      <c r="S14">
        <f>IF(J_V="SI",0,Datos!AI14)</f>
        <v>78</v>
      </c>
      <c r="T14">
        <f>IF(J_V="SI",0,Datos!AJ14)</f>
        <v>113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8.2406471183013141E-2</v>
      </c>
      <c r="E17" s="393">
        <f>IF(ISNUMBER(
   IF(D_I="SI",(Datos!J17-Datos!T17)/Datos!T17,(Datos!J17+Datos!AD17-(Datos!T17+Datos!AL17))/(Datos!T17+Datos!AL17))
     ),IF(D_I="SI",(Datos!J17-Datos!T17)/Datos!T17,(Datos!J17+Datos!AD17-(Datos!T17+Datos!AL17))/(Datos!T17+Datos!AL17))," - ")</f>
        <v>0.19450980392156864</v>
      </c>
      <c r="F17" s="393">
        <f>IF(ISNUMBER(
   IF(D_I="SI",(Datos!K17-Datos!U17)/Datos!U17,(Datos!K17+Datos!AE17-(Datos!U17+Datos!AM17))/(Datos!U17+Datos!AM17))
     ),IF(D_I="SI",(Datos!K17-Datos!U17)/Datos!U17,(Datos!K17+Datos!AE17-(Datos!U17+Datos!AM17))/(Datos!U17+Datos!AM17))," - ")</f>
        <v>5.2067381316998472E-2</v>
      </c>
      <c r="G17" s="394">
        <f>IF(ISNUMBER(
   IF(D_I="SI",(Datos!L17-Datos!V17)/Datos!V17,(Datos!L17+Datos!AF17-(Datos!V17+Datos!AN17))/(Datos!V17+Datos!AN17))
     ),IF(D_I="SI",(Datos!L17-Datos!V17)/Datos!V17,(Datos!L17+Datos!AF17-(Datos!V17+Datos!AN17))/(Datos!V17+Datos!AN17))," - ")</f>
        <v>0.19749216300940439</v>
      </c>
      <c r="H17" s="244">
        <f>IF(ISNUMBER((Datos!M17-Datos!W17)/Datos!W17),(Datos!M17-Datos!W17)/Datos!W17," - ")</f>
        <v>-2.1052631578947368E-2</v>
      </c>
      <c r="I17" s="395">
        <f>IF(ISNUMBER((Tasas!C17-Datos!BE17)/Datos!BE17),(Tasas!C17-Datos!BE17)/Datos!BE17," - ")</f>
        <v>0.13822763092451376</v>
      </c>
      <c r="J17" s="394">
        <f>IF(ISNUMBER((Tasas!D17-Datos!BF17)/Datos!BF17),(Tasas!D17-Datos!BF17)/Datos!BF17," - ")</f>
        <v>-6.9501264077223596E-2</v>
      </c>
      <c r="K17" s="396">
        <f>IF(ISNUMBER((Tasas!E17-Datos!BG17)/Datos!BG17),(Tasas!E17-Datos!BG17)/Datos!BG17," - ")</f>
        <v>7.0601496054923524E-2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0.14864864864864866</v>
      </c>
      <c r="E18" s="393">
        <f>IF(ISNUMBER(
   IF(D_I="SI",(Datos!J18-Datos!T18)/Datos!T18,(Datos!J18+Datos!AD18-(Datos!T18+Datos!AL18))/(Datos!T18+Datos!AL18))
     ),IF(D_I="SI",(Datos!J18-Datos!T18)/Datos!T18,(Datos!J18+Datos!AD18-(Datos!T18+Datos!AL18))/(Datos!T18+Datos!AL18))," - ")</f>
        <v>0.2413793103448276</v>
      </c>
      <c r="F18" s="393">
        <f>IF(ISNUMBER(
   IF(D_I="SI",(Datos!K18-Datos!U18)/Datos!U18,(Datos!K18+Datos!AE18-(Datos!U18+Datos!AM18))/(Datos!U18+Datos!AM18))
     ),IF(D_I="SI",(Datos!K18-Datos!U18)/Datos!U18,(Datos!K18+Datos!AE18-(Datos!U18+Datos!AM18))/(Datos!U18+Datos!AM18))," - ")</f>
        <v>0.2818181818181818</v>
      </c>
      <c r="G18" s="394">
        <f>IF(ISNUMBER(
   IF(D_I="SI",(Datos!L18-Datos!V18)/Datos!V18,(Datos!L18+Datos!AF18-(Datos!V18+Datos!AN18))/(Datos!V18+Datos!AN18))
     ),IF(D_I="SI",(Datos!L18-Datos!V18)/Datos!V18,(Datos!L18+Datos!AF18-(Datos!V18+Datos!AN18))/(Datos!V18+Datos!AN18))," - ")</f>
        <v>0.1</v>
      </c>
      <c r="H18" s="244">
        <f>IF(ISNUMBER((Datos!M18-Datos!W18)/Datos!W18),(Datos!M18-Datos!W18)/Datos!W18," - ")</f>
        <v>1.4444444444444444</v>
      </c>
      <c r="I18" s="395">
        <f>IF(ISNUMBER((Tasas!C18-Datos!BE18)/Datos!BE18),(Tasas!C18-Datos!BE18)/Datos!BE18," - ")</f>
        <v>-0.14184397163120568</v>
      </c>
      <c r="J18" s="394">
        <f>IF(ISNUMBER((Tasas!D18-Datos!BF18)/Datos!BF18),(Tasas!D18-Datos!BF18)/Datos!BF18," - ")</f>
        <v>0.90701339637509859</v>
      </c>
      <c r="K18" s="396">
        <f>IF(ISNUMBER((Tasas!E18-Datos!BG18)/Datos!BG18),(Tasas!E18-Datos!BG18)/Datos!BG18," - ")</f>
        <v>-5.9723777528928705E-2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f>IF(ISNUMBER((Datos!I20-Datos!S20)/Datos!S20),(Datos!I20-Datos!S20)/Datos!S20," - ")</f>
        <v>-0.30612244897959184</v>
      </c>
      <c r="E20" s="393">
        <f>IF(ISNUMBER((Datos!J20-Datos!T20)/Datos!T20),(Datos!J20-Datos!T20)/Datos!T20," - ")</f>
        <v>0.25</v>
      </c>
      <c r="F20" s="393">
        <f>IF(ISNUMBER((Datos!K20-Datos!U20)/Datos!U20),(Datos!K20-Datos!U20)/Datos!U20," - ")</f>
        <v>0.2073170731707317</v>
      </c>
      <c r="G20" s="394">
        <f>IF(ISNUMBER((Datos!L20-Datos!V20)/Datos!V20),(Datos!L20-Datos!V20)/Datos!V20," - ")</f>
        <v>-0.36363636363636365</v>
      </c>
      <c r="H20" s="244" t="str">
        <f>IF(ISNUMBER((Datos!M20-Datos!W20)/Datos!W20),(Datos!M20-Datos!W20)/Datos!W20," - ")</f>
        <v xml:space="preserve"> - </v>
      </c>
      <c r="I20" s="395">
        <f>IF(ISNUMBER((Tasas!C20-Datos!BE20)/Datos!BE20),(Tasas!C20-Datos!BE20)/Datos!BE20," - ")</f>
        <v>-0.47291092745638202</v>
      </c>
      <c r="J20" s="394" t="str">
        <f>IF(ISNUMBER((Tasas!D20-Datos!BF20)/Datos!BF20),(Tasas!D20-Datos!BF20)/Datos!BF20," - ")</f>
        <v xml:space="preserve"> - </v>
      </c>
      <c r="K20" s="396">
        <f>IF(ISNUMBER((Tasas!E20-Datos!BG20)/Datos!BG20),(Tasas!E20-Datos!BG20)/Datos!BG20," - ")</f>
        <v>-7.9218581756652862E-2</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7.5678248453117561E-2</v>
      </c>
      <c r="E23" s="399">
        <f>IF(ISNUMBER(
   IF(D_I="SI",(Datos!J23-Datos!T23)/Datos!T23,(Datos!J23+Datos!AD23-(Datos!T23+Datos!AL23))/(Datos!T23+Datos!AL23))
     ),IF(D_I="SI",(Datos!J23-Datos!T23)/Datos!T23,(Datos!J23+Datos!AD23-(Datos!T23+Datos!AL23))/(Datos!T23+Datos!AL23))," - ")</f>
        <v>0.20337881741390512</v>
      </c>
      <c r="F23" s="399">
        <f>IF(ISNUMBER(
   IF(D_I="SI",(Datos!K23-Datos!U23)/Datos!U23,(Datos!K23+Datos!AE23-(Datos!U23+Datos!AM23))/(Datos!U23+Datos!AM23))
     ),IF(D_I="SI",(Datos!K23-Datos!U23)/Datos!U23,(Datos!K23+Datos!AE23-(Datos!U23+Datos!AM23))/(Datos!U23+Datos!AM23))," - ")</f>
        <v>8.4177215189873422E-2</v>
      </c>
      <c r="G23" s="400">
        <f>IF(ISNUMBER(
   IF(D_I="SI",(Datos!L23-Datos!V23)/Datos!V23,(Datos!L23+Datos!AF23-(Datos!V23+Datos!AN23))/(Datos!V23+Datos!AN23))
     ),IF(D_I="SI",(Datos!L23-Datos!V23)/Datos!V23,(Datos!L23+Datos!AF23-(Datos!V23+Datos!AN23))/(Datos!V23+Datos!AN23))," - ")</f>
        <v>0.18450912678835718</v>
      </c>
      <c r="H23" s="401">
        <f>IF(ISNUMBER((Datos!M23-Datos!W23)/Datos!W23),(Datos!M23-Datos!W23)/Datos!W23," - ")</f>
        <v>4.5226130653266333E-2</v>
      </c>
      <c r="I23" s="402">
        <f>IF(ISNUMBER((Tasas!C23-Datos!BE23)/Datos!BE23),(Tasas!C23-Datos!BE23)/Datos!BE23," - ")</f>
        <v>9.2541985012028177E-2</v>
      </c>
      <c r="J23" s="400">
        <f>IF(ISNUMBER((Tasas!D23-Datos!BF23)/Datos!BF23),(Tasas!D23-Datos!BF23)/Datos!BF23," - ")</f>
        <v>-3.5926861393951695E-2</v>
      </c>
      <c r="K23" s="403">
        <f>IF(ISNUMBER((Tasas!E23-Datos!BG23)/Datos!BG23),(Tasas!E23-Datos!BG23)/Datos!BG23," - ")</f>
        <v>4.1960957897910642E-2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0.12756560145492335</v>
      </c>
      <c r="E31" s="409">
        <f>IF(ISNUMBER(
   IF(J_V="SI",(Datos!J31-Datos!T31)/Datos!T31,(Datos!J31+Datos!Z31-(Datos!T31+Datos!AH31))/(Datos!T31+Datos!AH31))
     ),IF(J_V="SI",(Datos!J31-Datos!T31)/Datos!T31,(Datos!J31+Datos!Z31-(Datos!T31+Datos!AH31))/(Datos!T31+Datos!AH31))," - ")</f>
        <v>9.0979782270606532E-2</v>
      </c>
      <c r="F31" s="409">
        <f>IF(ISNUMBER(
   IF(J_V="SI",(Datos!K31-Datos!U31)/Datos!U31,(Datos!K31+Datos!AA31-(Datos!U31+Datos!AI31))/(Datos!U31+Datos!AI31))
     ),IF(J_V="SI",(Datos!K31-Datos!U31)/Datos!U31,(Datos!K31+Datos!AA31-(Datos!U31+Datos!AI31))/(Datos!U31+Datos!AI31))," - ")</f>
        <v>-2.1876158694846125E-2</v>
      </c>
      <c r="G31" s="410">
        <f>IF(ISNUMBER(
   IF(J_V="SI",(Datos!L31-Datos!V31)/Datos!V31,(Datos!L31+Datos!AB31-(Datos!V31+Datos!AJ31))/(Datos!V31+Datos!AJ31))
     ),IF(J_V="SI",(Datos!L31-Datos!V31)/Datos!V31,(Datos!L31+Datos!AB31-(Datos!V31+Datos!AJ31))/(Datos!V31+Datos!AJ31))," - ")</f>
        <v>0.2218910864264427</v>
      </c>
      <c r="H31" s="411">
        <f>IF(ISNUMBER((Datos!M31-Datos!W31)/Datos!W31),(Datos!M31-Datos!W31)/Datos!W31," - ")</f>
        <v>-1.5945330296127564E-2</v>
      </c>
      <c r="I31" s="408">
        <f>IF(ISNUMBER((Tasas!C31-Datos!BE31)/Datos!BE31),(Tasas!C31-Datos!BE31)/Datos!BE31," - ")</f>
        <v>0.24921920397729938</v>
      </c>
      <c r="J31" s="409">
        <f>IF(ISNUMBER((Tasas!D31-Datos!BF31)/Datos!BF31),(Tasas!D31-Datos!BF31)/Datos!BF31," - ")</f>
        <v>-0.12194460228771431</v>
      </c>
      <c r="K31" s="410">
        <f>IF(ISNUMBER((Tasas!E31-Datos!BG31)/Datos!BG31),(Tasas!E31-Datos!BG31)/Datos!BG31," - ")</f>
        <v>0.1378014874666724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0.19464379434842896</v>
      </c>
      <c r="E33" s="303">
        <f t="shared" si="1"/>
        <v>5.1567012404209488E-2</v>
      </c>
      <c r="F33" s="303">
        <f t="shared" si="1"/>
        <v>0.18190929580733367</v>
      </c>
      <c r="G33" s="304">
        <f t="shared" si="1"/>
        <v>0.23010717804897046</v>
      </c>
      <c r="H33" s="310">
        <f t="shared" si="1"/>
        <v>0.59203696414157969</v>
      </c>
      <c r="I33" s="302">
        <f t="shared" si="1"/>
        <v>0.36150984484162152</v>
      </c>
      <c r="J33" s="303">
        <f t="shared" si="1"/>
        <v>0.42717352359784244</v>
      </c>
      <c r="K33" s="304">
        <f t="shared" si="1"/>
        <v>0.16355955544059303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QSNvQAE4KXklqxPXxJXQLytcwz/02z1y6xxkICuUHuz3gdq9HxbMOPVKtlchITXZNBzFLDCHvvltL8OQVy0Fg==" saltValue="O5TKYSopOGQ8NdMYpRjyt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